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<sst xmlns="http://schemas.openxmlformats.org/spreadsheetml/2006/main" count="172" uniqueCount="123">
  <si>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</si>
  <si>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</si>
  <si>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</si>
  <si>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</si>
  <si>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</si>
  <si>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</si>
  <si>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</si>
  <si>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</si>
  <si>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</si>
  <si>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</si>
  <si>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</si>
  <si>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</si>
  <si>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</si>
  <si>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</si>
  <si>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</si>
  <si>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</si>
  <si>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</si>
  <si>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</si>
  <si>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</si>
  <si>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</si>
  <si>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</si>
  <si>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</si>
  <si>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</si>
  <si>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</si>
  <si>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</si>
  <si>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</si>
  <si>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</si>
  <si>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</si>
  <si>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</si>
  <si>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</si>
  <si>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</si>
  <si>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</si>
  <si>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</si>
  <si>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</si>
  <si>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</si>
  <si>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</si>
  <si>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</si>
  <si>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</si>
  <si>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</si>
  <si>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</si>
  <si>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</si>
  <si>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</si>
  <si>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</si>
  <si>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</si>
  <si>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</si>
  <si>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</si>
  <si>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</si>
  <si>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</si>
  <si>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</si>
  <si>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</si>
  <si>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</si>
  <si>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</si>
  <si>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</si>
  <si>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</si>
  <si>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</si>
  <si>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</si>
  <si>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</si>
  <si>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</si>
  <si>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</si>
  <si>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</si>
  <si>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</si>
  <si>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</si>
  <si>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</si>
  <si>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</si>
  <si>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</si>
  <si>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</si>
  <si>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</si>
  <si>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</si>
  <si>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</si>
  <si>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</si>
  <si>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</si>
  <si>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</si>
  <si>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</si>
  <si>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</si>
  <si>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</si>
  <si>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</si>
  <si>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</si>
  <si>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</si>
  <si>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</si>
  <si>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</si>
  <si>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</si>
  <si>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</si>
  <si>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</si>
  <si>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</si>
  <si>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</si>
  <si>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</si>
  <si>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</si>
  <si>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</si>
  <si>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</si>
  <si>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</si>
  <si>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</si>
  <si>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</si>
  <si>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</si>
  <si>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</si>
  <si>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</si>
  <si>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</si>
  <si>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</si>
  <si>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</si>
  <si>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</si>
  <si>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</si>
  <si>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</si>
  <si>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</si>
  <si>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</si>
  <si>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</si>
  <si>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</si>
  <si>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</si>
  <si>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</si>
  <si>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</si>
  <si>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</si>
  <si>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</si>
  <si>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</si>
  <si>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</si>
  <si>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</si>
  <si>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</si>
  <si>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</si>
  <si>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</si>
  <si>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</si>
  <si>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</si>
  <si>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</si>
  <si>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</si>
  <si>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</si>
  <si>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</si>
  <si>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Аналіз використання коштів міського бюджету за 2016 рік станом на 07.07.2016 року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</si>
</sst>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0.0"/>
    <numFmt numFmtId="182" formatCode="#,##0.0"/>
    <numFmt numFmtId="183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81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1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/>
    </xf>
    <xf numFmtId="181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1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1" fontId="5" fillId="0" borderId="1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1" fontId="5" fillId="0" borderId="15" xfId="0" applyNumberFormat="1" applyFont="1" applyFill="1" applyBorder="1" applyAlignment="1">
      <alignment/>
    </xf>
    <xf numFmtId="181" fontId="5" fillId="24" borderId="11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1" fontId="3" fillId="0" borderId="10" xfId="0" applyNumberFormat="1" applyFont="1" applyFill="1" applyBorder="1" applyAlignment="1">
      <alignment horizontal="center"/>
    </xf>
    <xf numFmtId="181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1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wrapText="1"/>
    </xf>
    <xf numFmtId="182" fontId="3" fillId="0" borderId="12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4" fillId="24" borderId="13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/>
    </xf>
    <xf numFmtId="182" fontId="4" fillId="24" borderId="11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 horizontal="right"/>
    </xf>
    <xf numFmtId="182" fontId="4" fillId="24" borderId="11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wrapText="1"/>
    </xf>
    <xf numFmtId="182" fontId="5" fillId="0" borderId="12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 wrapText="1"/>
    </xf>
    <xf numFmtId="182" fontId="5" fillId="0" borderId="13" xfId="0" applyNumberFormat="1" applyFont="1" applyFill="1" applyBorder="1" applyAlignment="1">
      <alignment wrapText="1"/>
    </xf>
    <xf numFmtId="182" fontId="4" fillId="0" borderId="13" xfId="0" applyNumberFormat="1" applyFont="1" applyFill="1" applyBorder="1" applyAlignment="1">
      <alignment/>
    </xf>
    <xf numFmtId="182" fontId="4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horizontal="left" wrapText="1"/>
    </xf>
    <xf numFmtId="182" fontId="4" fillId="0" borderId="12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182" fontId="5" fillId="0" borderId="13" xfId="0" applyNumberFormat="1" applyFont="1" applyFill="1" applyBorder="1" applyAlignment="1">
      <alignment/>
    </xf>
    <xf numFmtId="182" fontId="5" fillId="0" borderId="11" xfId="0" applyNumberFormat="1" applyFont="1" applyFill="1" applyBorder="1" applyAlignment="1">
      <alignment/>
    </xf>
    <xf numFmtId="182" fontId="7" fillId="0" borderId="12" xfId="0" applyNumberFormat="1" applyFont="1" applyFill="1" applyBorder="1" applyAlignment="1">
      <alignment wrapText="1"/>
    </xf>
    <xf numFmtId="182" fontId="5" fillId="0" borderId="16" xfId="0" applyNumberFormat="1" applyFont="1" applyFill="1" applyBorder="1" applyAlignment="1">
      <alignment wrapText="1"/>
    </xf>
    <xf numFmtId="182" fontId="4" fillId="0" borderId="16" xfId="0" applyNumberFormat="1" applyFont="1" applyFill="1" applyBorder="1" applyAlignment="1">
      <alignment/>
    </xf>
    <xf numFmtId="182" fontId="4" fillId="0" borderId="14" xfId="0" applyNumberFormat="1" applyFont="1" applyFill="1" applyBorder="1" applyAlignment="1">
      <alignment/>
    </xf>
    <xf numFmtId="182" fontId="5" fillId="24" borderId="16" xfId="0" applyNumberFormat="1" applyFont="1" applyFill="1" applyBorder="1" applyAlignment="1">
      <alignment wrapText="1"/>
    </xf>
    <xf numFmtId="182" fontId="4" fillId="24" borderId="16" xfId="0" applyNumberFormat="1" applyFont="1" applyFill="1" applyBorder="1" applyAlignment="1">
      <alignment/>
    </xf>
    <xf numFmtId="182" fontId="4" fillId="24" borderId="14" xfId="0" applyNumberFormat="1" applyFont="1" applyFill="1" applyBorder="1" applyAlignment="1">
      <alignment/>
    </xf>
    <xf numFmtId="182" fontId="5" fillId="0" borderId="14" xfId="0" applyNumberFormat="1" applyFont="1" applyFill="1" applyBorder="1" applyAlignment="1">
      <alignment wrapText="1"/>
    </xf>
    <xf numFmtId="182" fontId="4" fillId="0" borderId="17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 wrapText="1"/>
    </xf>
    <xf numFmtId="182" fontId="3" fillId="0" borderId="10" xfId="0" applyNumberFormat="1" applyFont="1" applyFill="1" applyBorder="1" applyAlignment="1">
      <alignment wrapText="1"/>
    </xf>
    <xf numFmtId="182" fontId="3" fillId="0" borderId="17" xfId="0" applyNumberFormat="1" applyFont="1" applyFill="1" applyBorder="1" applyAlignment="1">
      <alignment/>
    </xf>
    <xf numFmtId="182" fontId="5" fillId="0" borderId="17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0" fillId="0" borderId="13" xfId="0" applyNumberFormat="1" applyFont="1" applyFill="1" applyBorder="1" applyAlignment="1">
      <alignment wrapText="1"/>
    </xf>
    <xf numFmtId="182" fontId="0" fillId="0" borderId="11" xfId="0" applyNumberFormat="1" applyFont="1" applyFill="1" applyBorder="1" applyAlignment="1">
      <alignment/>
    </xf>
    <xf numFmtId="182" fontId="4" fillId="0" borderId="16" xfId="0" applyNumberFormat="1" applyFont="1" applyFill="1" applyBorder="1" applyAlignment="1">
      <alignment wrapText="1"/>
    </xf>
    <xf numFmtId="182" fontId="4" fillId="0" borderId="12" xfId="0" applyNumberFormat="1" applyFont="1" applyFill="1" applyBorder="1" applyAlignment="1">
      <alignment wrapText="1"/>
    </xf>
    <xf numFmtId="182" fontId="4" fillId="0" borderId="18" xfId="0" applyNumberFormat="1" applyFont="1" applyFill="1" applyBorder="1" applyAlignment="1">
      <alignment/>
    </xf>
    <xf numFmtId="182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82" fontId="4" fillId="24" borderId="15" xfId="0" applyNumberFormat="1" applyFont="1" applyFill="1" applyBorder="1" applyAlignment="1">
      <alignment/>
    </xf>
    <xf numFmtId="181" fontId="4" fillId="24" borderId="15" xfId="0" applyNumberFormat="1" applyFont="1" applyFill="1" applyBorder="1" applyAlignment="1">
      <alignment/>
    </xf>
    <xf numFmtId="181" fontId="3" fillId="0" borderId="14" xfId="0" applyNumberFormat="1" applyFont="1" applyFill="1" applyBorder="1" applyAlignment="1">
      <alignment/>
    </xf>
    <xf numFmtId="181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82" fontId="3" fillId="0" borderId="14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 wrapText="1"/>
    </xf>
    <xf numFmtId="182" fontId="3" fillId="0" borderId="14" xfId="0" applyNumberFormat="1" applyFont="1" applyFill="1" applyBorder="1" applyAlignment="1">
      <alignment wrapText="1"/>
    </xf>
    <xf numFmtId="180" fontId="0" fillId="0" borderId="0" xfId="0" applyNumberFormat="1" applyFont="1" applyFill="1" applyBorder="1" applyAlignment="1">
      <alignment/>
    </xf>
    <xf numFmtId="183" fontId="12" fillId="0" borderId="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right"/>
    </xf>
    <xf numFmtId="182" fontId="13" fillId="0" borderId="12" xfId="0" applyNumberFormat="1" applyFont="1" applyFill="1" applyBorder="1" applyAlignment="1">
      <alignment/>
    </xf>
    <xf numFmtId="181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82" fontId="13" fillId="0" borderId="12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 vertical="center" wrapText="1"/>
    </xf>
    <xf numFmtId="181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82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1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82" fontId="13" fillId="0" borderId="10" xfId="0" applyNumberFormat="1" applyFont="1" applyFill="1" applyBorder="1" applyAlignment="1">
      <alignment/>
    </xf>
    <xf numFmtId="181" fontId="4" fillId="24" borderId="14" xfId="0" applyNumberFormat="1" applyFont="1" applyFill="1" applyBorder="1" applyAlignment="1">
      <alignment/>
    </xf>
    <xf numFmtId="181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1" fontId="4" fillId="24" borderId="16" xfId="0" applyNumberFormat="1" applyFont="1" applyFill="1" applyBorder="1" applyAlignment="1">
      <alignment/>
    </xf>
    <xf numFmtId="182" fontId="5" fillId="24" borderId="20" xfId="0" applyNumberFormat="1" applyFont="1" applyFill="1" applyBorder="1" applyAlignment="1">
      <alignment wrapText="1"/>
    </xf>
    <xf numFmtId="182" fontId="4" fillId="24" borderId="22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 horizontal="right"/>
    </xf>
    <xf numFmtId="182" fontId="3" fillId="0" borderId="21" xfId="0" applyNumberFormat="1" applyFont="1" applyFill="1" applyBorder="1" applyAlignment="1">
      <alignment wrapText="1"/>
    </xf>
    <xf numFmtId="182" fontId="3" fillId="0" borderId="23" xfId="0" applyNumberFormat="1" applyFont="1" applyFill="1" applyBorder="1" applyAlignment="1">
      <alignment horizontal="right"/>
    </xf>
    <xf numFmtId="182" fontId="3" fillId="0" borderId="24" xfId="0" applyNumberFormat="1" applyFont="1" applyFill="1" applyBorder="1" applyAlignment="1">
      <alignment/>
    </xf>
    <xf numFmtId="181" fontId="3" fillId="0" borderId="21" xfId="0" applyNumberFormat="1" applyFont="1" applyFill="1" applyBorder="1" applyAlignment="1">
      <alignment/>
    </xf>
    <xf numFmtId="181" fontId="3" fillId="0" borderId="25" xfId="0" applyNumberFormat="1" applyFont="1" applyFill="1" applyBorder="1" applyAlignment="1">
      <alignment/>
    </xf>
    <xf numFmtId="181" fontId="3" fillId="0" borderId="23" xfId="0" applyNumberFormat="1" applyFont="1" applyFill="1" applyBorder="1" applyAlignment="1">
      <alignment/>
    </xf>
    <xf numFmtId="181" fontId="3" fillId="25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/>
    </xf>
    <xf numFmtId="182" fontId="3" fillId="0" borderId="26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81" fontId="58" fillId="0" borderId="10" xfId="0" applyNumberFormat="1" applyFont="1" applyFill="1" applyBorder="1" applyAlignment="1">
      <alignment/>
    </xf>
    <xf numFmtId="182" fontId="3" fillId="0" borderId="2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58916.3</c:v>
                </c:pt>
                <c:pt idx="1">
                  <c:v>49463.1</c:v>
                </c:pt>
                <c:pt idx="2">
                  <c:v>2121.4</c:v>
                </c:pt>
                <c:pt idx="3">
                  <c:v>7331.800000000005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23355.500000000004</c:v>
                </c:pt>
                <c:pt idx="1">
                  <c:v>19807.899999999998</c:v>
                </c:pt>
                <c:pt idx="2">
                  <c:v>795.6999999999998</c:v>
                </c:pt>
                <c:pt idx="3">
                  <c:v>2751.900000000006</c:v>
                </c:pt>
              </c:numCache>
            </c:numRef>
          </c:val>
          <c:shape val="box"/>
        </c:ser>
        <c:shape val="box"/>
        <c:axId val="57559160"/>
        <c:axId val="48270393"/>
      </c:bar3DChart>
      <c:catAx>
        <c:axId val="57559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270393"/>
        <c:crosses val="autoZero"/>
        <c:auto val="1"/>
        <c:lblOffset val="100"/>
        <c:tickLblSkip val="1"/>
        <c:noMultiLvlLbl val="0"/>
      </c:catAx>
      <c:valAx>
        <c:axId val="482703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591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429193.5</c:v>
                </c:pt>
                <c:pt idx="1">
                  <c:v>187918.3</c:v>
                </c:pt>
                <c:pt idx="2">
                  <c:v>298081.6</c:v>
                </c:pt>
                <c:pt idx="3">
                  <c:v>85.7</c:v>
                </c:pt>
                <c:pt idx="4">
                  <c:v>28024.9</c:v>
                </c:pt>
                <c:pt idx="5">
                  <c:v>71654.8</c:v>
                </c:pt>
                <c:pt idx="6">
                  <c:v>14740</c:v>
                </c:pt>
                <c:pt idx="7">
                  <c:v>16606.500000000015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178441.80000000002</c:v>
                </c:pt>
                <c:pt idx="1">
                  <c:v>76450.4</c:v>
                </c:pt>
                <c:pt idx="2">
                  <c:v>126274.19999999998</c:v>
                </c:pt>
                <c:pt idx="3">
                  <c:v>30.199999999999996</c:v>
                </c:pt>
                <c:pt idx="4">
                  <c:v>12674.000000000004</c:v>
                </c:pt>
                <c:pt idx="5">
                  <c:v>29479.499999999996</c:v>
                </c:pt>
                <c:pt idx="6">
                  <c:v>5565.700000000001</c:v>
                </c:pt>
                <c:pt idx="7">
                  <c:v>4418.200000000041</c:v>
                </c:pt>
              </c:numCache>
            </c:numRef>
          </c:val>
          <c:shape val="box"/>
        </c:ser>
        <c:shape val="box"/>
        <c:axId val="31780354"/>
        <c:axId val="17587731"/>
      </c:bar3DChart>
      <c:catAx>
        <c:axId val="31780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587731"/>
        <c:crosses val="autoZero"/>
        <c:auto val="1"/>
        <c:lblOffset val="100"/>
        <c:tickLblSkip val="1"/>
        <c:noMultiLvlLbl val="0"/>
      </c:catAx>
      <c:valAx>
        <c:axId val="175877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803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254068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13158.70000000001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99253.5</c:v>
                </c:pt>
                <c:pt idx="1">
                  <c:v>72367</c:v>
                </c:pt>
                <c:pt idx="2">
                  <c:v>75491.2</c:v>
                </c:pt>
                <c:pt idx="3">
                  <c:v>7819.900000000001</c:v>
                </c:pt>
                <c:pt idx="4">
                  <c:v>1629.7</c:v>
                </c:pt>
                <c:pt idx="5">
                  <c:v>11694.300000000001</c:v>
                </c:pt>
                <c:pt idx="6">
                  <c:v>636.5999999999999</c:v>
                </c:pt>
                <c:pt idx="7">
                  <c:v>1981.7999999999997</c:v>
                </c:pt>
              </c:numCache>
            </c:numRef>
          </c:val>
          <c:shape val="box"/>
        </c:ser>
        <c:shape val="box"/>
        <c:axId val="24071852"/>
        <c:axId val="15320077"/>
      </c:bar3DChart>
      <c:catAx>
        <c:axId val="2407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320077"/>
        <c:crosses val="autoZero"/>
        <c:auto val="1"/>
        <c:lblOffset val="100"/>
        <c:tickLblSkip val="1"/>
        <c:noMultiLvlLbl val="0"/>
      </c:catAx>
      <c:valAx>
        <c:axId val="15320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718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19396.5</c:v>
                </c:pt>
                <c:pt idx="1">
                  <c:v>13708.5</c:v>
                </c:pt>
                <c:pt idx="2">
                  <c:v>1202.2</c:v>
                </c:pt>
                <c:pt idx="3">
                  <c:v>286.30000000000007</c:v>
                </c:pt>
                <c:pt idx="4">
                  <c:v>25.5</c:v>
                </c:pt>
                <c:pt idx="5">
                  <c:v>4174</c:v>
                </c:pt>
              </c:numCache>
            </c:numRef>
          </c:val>
          <c:shape val="box"/>
        </c:ser>
        <c:shape val="box"/>
        <c:axId val="3662966"/>
        <c:axId val="32966695"/>
      </c:bar3DChart>
      <c:catAx>
        <c:axId val="3662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966695"/>
        <c:crosses val="autoZero"/>
        <c:auto val="1"/>
        <c:lblOffset val="100"/>
        <c:tickLblSkip val="1"/>
        <c:noMultiLvlLbl val="0"/>
      </c:catAx>
      <c:valAx>
        <c:axId val="329666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29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6"/>
                <c:pt idx="0">
                  <c:v>16312.5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4751.699999999999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6"/>
                <c:pt idx="0">
                  <c:v>5960.899999999999</c:v>
                </c:pt>
                <c:pt idx="1">
                  <c:v>3807.5999999999995</c:v>
                </c:pt>
                <c:pt idx="3">
                  <c:v>109.20000000000002</c:v>
                </c:pt>
                <c:pt idx="4">
                  <c:v>343.59999999999997</c:v>
                </c:pt>
                <c:pt idx="5">
                  <c:v>1700.4999999999993</c:v>
                </c:pt>
              </c:numCache>
            </c:numRef>
          </c:val>
          <c:shape val="box"/>
        </c:ser>
        <c:shape val="box"/>
        <c:axId val="28264800"/>
        <c:axId val="53056609"/>
      </c:bar3DChart>
      <c:catAx>
        <c:axId val="2826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056609"/>
        <c:crosses val="autoZero"/>
        <c:auto val="1"/>
        <c:lblOffset val="100"/>
        <c:tickLblSkip val="2"/>
        <c:noMultiLvlLbl val="0"/>
      </c:catAx>
      <c:valAx>
        <c:axId val="530566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648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6016.2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868.6999999999999</c:v>
                </c:pt>
                <c:pt idx="1">
                  <c:v>651.6999999999999</c:v>
                </c:pt>
                <c:pt idx="3">
                  <c:v>191.7</c:v>
                </c:pt>
                <c:pt idx="5">
                  <c:v>25.30000000000001</c:v>
                </c:pt>
              </c:numCache>
            </c:numRef>
          </c:val>
          <c:shape val="box"/>
        </c:ser>
        <c:shape val="box"/>
        <c:axId val="7747434"/>
        <c:axId val="2618043"/>
      </c:bar3DChart>
      <c:catAx>
        <c:axId val="7747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18043"/>
        <c:crosses val="autoZero"/>
        <c:auto val="1"/>
        <c:lblOffset val="100"/>
        <c:tickLblSkip val="1"/>
        <c:noMultiLvlLbl val="0"/>
      </c:catAx>
      <c:valAx>
        <c:axId val="26180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474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36531.99999999999</c:v>
                </c:pt>
              </c:numCache>
            </c:numRef>
          </c:val>
          <c:shape val="box"/>
        </c:ser>
        <c:shape val="box"/>
        <c:axId val="23562388"/>
        <c:axId val="10734901"/>
      </c:bar3DChart>
      <c:catAx>
        <c:axId val="2356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734901"/>
        <c:crosses val="autoZero"/>
        <c:auto val="1"/>
        <c:lblOffset val="100"/>
        <c:tickLblSkip val="1"/>
        <c:noMultiLvlLbl val="0"/>
      </c:catAx>
      <c:valAx>
        <c:axId val="107349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623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429193.5</c:v>
                </c:pt>
                <c:pt idx="1">
                  <c:v>254068</c:v>
                </c:pt>
                <c:pt idx="2">
                  <c:v>50285.299999999996</c:v>
                </c:pt>
                <c:pt idx="3">
                  <c:v>16312.5</c:v>
                </c:pt>
                <c:pt idx="4">
                  <c:v>6016.2</c:v>
                </c:pt>
                <c:pt idx="5">
                  <c:v>58916.3</c:v>
                </c:pt>
                <c:pt idx="6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178441.80000000002</c:v>
                </c:pt>
                <c:pt idx="1">
                  <c:v>99253.5</c:v>
                </c:pt>
                <c:pt idx="2">
                  <c:v>19396.5</c:v>
                </c:pt>
                <c:pt idx="3">
                  <c:v>5960.899999999999</c:v>
                </c:pt>
                <c:pt idx="4">
                  <c:v>868.6999999999999</c:v>
                </c:pt>
                <c:pt idx="5">
                  <c:v>23355.500000000004</c:v>
                </c:pt>
                <c:pt idx="6">
                  <c:v>36531.99999999999</c:v>
                </c:pt>
              </c:numCache>
            </c:numRef>
          </c:val>
          <c:shape val="box"/>
        </c:ser>
        <c:shape val="box"/>
        <c:axId val="29505246"/>
        <c:axId val="64220623"/>
      </c:bar3DChart>
      <c:catAx>
        <c:axId val="29505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220623"/>
        <c:crosses val="autoZero"/>
        <c:auto val="1"/>
        <c:lblOffset val="100"/>
        <c:tickLblSkip val="1"/>
        <c:noMultiLvlLbl val="0"/>
      </c:catAx>
      <c:valAx>
        <c:axId val="64220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052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589171.4999999998</c:v>
                </c:pt>
                <c:pt idx="1">
                  <c:v>114196.40000000001</c:v>
                </c:pt>
                <c:pt idx="2">
                  <c:v>32632.300000000003</c:v>
                </c:pt>
                <c:pt idx="3">
                  <c:v>29166.2</c:v>
                </c:pt>
                <c:pt idx="4">
                  <c:v>21133.1</c:v>
                </c:pt>
                <c:pt idx="5">
                  <c:v>609411.5000000005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242856.3</c:v>
                </c:pt>
                <c:pt idx="1">
                  <c:v>46364.69999999999</c:v>
                </c:pt>
                <c:pt idx="2">
                  <c:v>14435.400000000005</c:v>
                </c:pt>
                <c:pt idx="3">
                  <c:v>9371</c:v>
                </c:pt>
                <c:pt idx="4">
                  <c:v>7850.900000000001</c:v>
                </c:pt>
                <c:pt idx="5">
                  <c:v>212784.30000000002</c:v>
                </c:pt>
              </c:numCache>
            </c:numRef>
          </c:val>
          <c:shape val="box"/>
        </c:ser>
        <c:shape val="box"/>
        <c:axId val="41114696"/>
        <c:axId val="34487945"/>
      </c:bar3DChart>
      <c:catAx>
        <c:axId val="41114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487945"/>
        <c:crosses val="autoZero"/>
        <c:auto val="1"/>
        <c:lblOffset val="100"/>
        <c:tickLblSkip val="1"/>
        <c:noMultiLvlLbl val="0"/>
      </c:catAx>
      <c:valAx>
        <c:axId val="344879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146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112</v>
      </c>
      <c r="D3" s="136" t="s">
        <v>28</v>
      </c>
      <c r="E3" s="136" t="s">
        <v>27</v>
      </c>
      <c r="F3" s="136" t="s">
        <v>120</v>
      </c>
      <c r="G3" s="136" t="s">
        <v>114</v>
      </c>
      <c r="H3" s="136" t="s">
        <v>121</v>
      </c>
      <c r="I3" s="136" t="s">
        <v>113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5" t="s">
        <v>33</v>
      </c>
      <c r="B6" s="49">
        <v>272057.3</v>
      </c>
      <c r="C6" s="50">
        <f>426773.1+25+188.4+2200.9+6.1-1051.6+141.1</f>
        <v>428283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</f>
        <v>233561.60000000003</v>
      </c>
      <c r="E6" s="3">
        <f>D6/D150*100</f>
        <v>32.53416509680227</v>
      </c>
      <c r="F6" s="3">
        <f>D6/B6*100</f>
        <v>85.85014995002894</v>
      </c>
      <c r="G6" s="3">
        <f aca="true" t="shared" si="0" ref="G6:G43">D6/C6*100</f>
        <v>54.53440832346836</v>
      </c>
      <c r="H6" s="51">
        <f>B6-D6</f>
        <v>38495.69999999995</v>
      </c>
      <c r="I6" s="51">
        <f aca="true" t="shared" si="1" ref="I6:I43">C6-D6</f>
        <v>194721.39999999997</v>
      </c>
    </row>
    <row r="7" spans="1:9" s="41" customFormat="1" ht="18.75">
      <c r="A7" s="112" t="s">
        <v>98</v>
      </c>
      <c r="B7" s="105">
        <v>121884.4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</f>
        <v>105706.50000000001</v>
      </c>
      <c r="E7" s="103">
        <f>D7/D6*100</f>
        <v>45.25850996054146</v>
      </c>
      <c r="F7" s="103">
        <f>D7/B7*100</f>
        <v>86.72684937530974</v>
      </c>
      <c r="G7" s="103">
        <f>D7/C7*100</f>
        <v>56.25130708398278</v>
      </c>
      <c r="H7" s="113">
        <f>B7-D7</f>
        <v>16177.89999999998</v>
      </c>
      <c r="I7" s="113">
        <f t="shared" si="1"/>
        <v>82211.79999999997</v>
      </c>
    </row>
    <row r="8" spans="1:9" ht="18">
      <c r="A8" s="26" t="s">
        <v>3</v>
      </c>
      <c r="B8" s="46">
        <v>189226.3</v>
      </c>
      <c r="C8" s="47">
        <v>298081.6</v>
      </c>
      <c r="D8" s="48">
        <f>3665.2+5419.3+4645.9+6727.5+3.3+4022.1+5553.6+3348.6+2163.6+10156.4+7.2+0.6+10315.5+1+3228.6+8514.3+1326+3.5+12.8+5216.4+5594.6+5651.4+7023.1+2.4+8.5+10209.4+23441.7+11+0.7+1305.4+14.8+7741.1+6989.1+14284+12975.3+5001-0.2+978.2+60.6</f>
        <v>175623.49999999997</v>
      </c>
      <c r="E8" s="1">
        <f>D8/D6*100</f>
        <v>75.19365340877951</v>
      </c>
      <c r="F8" s="1">
        <f>D8/B8*100</f>
        <v>92.81135867477195</v>
      </c>
      <c r="G8" s="1">
        <f t="shared" si="0"/>
        <v>58.91792717162011</v>
      </c>
      <c r="H8" s="48">
        <f>B8-D8</f>
        <v>13602.800000000017</v>
      </c>
      <c r="I8" s="48">
        <f t="shared" si="1"/>
        <v>122458.1</v>
      </c>
    </row>
    <row r="9" spans="1:9" ht="18">
      <c r="A9" s="26" t="s">
        <v>2</v>
      </c>
      <c r="B9" s="46">
        <v>52.6</v>
      </c>
      <c r="C9" s="47">
        <v>85.7</v>
      </c>
      <c r="D9" s="48">
        <f>4+2.9+1.6+0.5+0.5+1.9+1.2+1.8+1.6+0.7+2+3.7+0.1+1.9+2.9+1.2+0.4+1.1+0.2+0.6+1.5+1.7</f>
        <v>34</v>
      </c>
      <c r="E9" s="12">
        <f>D9/D6*100</f>
        <v>0.014557187482873896</v>
      </c>
      <c r="F9" s="128">
        <f>D9/B9*100</f>
        <v>64.63878326996198</v>
      </c>
      <c r="G9" s="1">
        <f t="shared" si="0"/>
        <v>39.6732788798133</v>
      </c>
      <c r="H9" s="48">
        <f aca="true" t="shared" si="2" ref="H9:H43">B9-D9</f>
        <v>18.6</v>
      </c>
      <c r="I9" s="48">
        <f t="shared" si="1"/>
        <v>51.7</v>
      </c>
    </row>
    <row r="10" spans="1:9" ht="18">
      <c r="A10" s="26" t="s">
        <v>1</v>
      </c>
      <c r="B10" s="46">
        <v>18050.6</v>
      </c>
      <c r="C10" s="47">
        <f>28052.9-28-1051.6+141.1</f>
        <v>27114.4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</f>
        <v>14236.700000000006</v>
      </c>
      <c r="E10" s="1">
        <f>D10/D6*100</f>
        <v>6.095479736395026</v>
      </c>
      <c r="F10" s="1">
        <f aca="true" t="shared" si="3" ref="F10:F41">D10/B10*100</f>
        <v>78.87106245775767</v>
      </c>
      <c r="G10" s="1">
        <f t="shared" si="0"/>
        <v>52.50604844658191</v>
      </c>
      <c r="H10" s="48">
        <f t="shared" si="2"/>
        <v>3813.8999999999924</v>
      </c>
      <c r="I10" s="48">
        <f t="shared" si="1"/>
        <v>12877.699999999995</v>
      </c>
    </row>
    <row r="11" spans="1:9" ht="18">
      <c r="A11" s="26" t="s">
        <v>0</v>
      </c>
      <c r="B11" s="46">
        <v>45460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</f>
        <v>30613.100000000002</v>
      </c>
      <c r="E11" s="1">
        <f>D11/D6*100</f>
        <v>13.107077533293143</v>
      </c>
      <c r="F11" s="1">
        <f t="shared" si="3"/>
        <v>67.34073911130665</v>
      </c>
      <c r="G11" s="1">
        <f t="shared" si="0"/>
        <v>42.723027626900084</v>
      </c>
      <c r="H11" s="48">
        <f t="shared" si="2"/>
        <v>14846.899999999998</v>
      </c>
      <c r="I11" s="48">
        <f t="shared" si="1"/>
        <v>41041.7</v>
      </c>
    </row>
    <row r="12" spans="1:9" ht="18">
      <c r="A12" s="26" t="s">
        <v>15</v>
      </c>
      <c r="B12" s="46">
        <v>8197.8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5+12.7+3.8+1250.6+160.8+241+218.1+277.6+20.3+413.8+8.3+240.5+24.8+2.5+338+212.8+1.2+3.8+19.1+319.6+33.1+186+278+233.1+1.2+181.4+178.6+208.7+296.2+195.1+36.2+3.8+12.7+114.5+331.8+187.3+241.1+252+65.5+0.1</f>
        <v>6810.700000000002</v>
      </c>
      <c r="E12" s="1">
        <f>D12/D6*100</f>
        <v>2.916018729106155</v>
      </c>
      <c r="F12" s="1">
        <f t="shared" si="3"/>
        <v>83.07960672375518</v>
      </c>
      <c r="G12" s="1">
        <f t="shared" si="0"/>
        <v>46.2055630936228</v>
      </c>
      <c r="H12" s="48">
        <f t="shared" si="2"/>
        <v>1387.0999999999976</v>
      </c>
      <c r="I12" s="48">
        <f t="shared" si="1"/>
        <v>7929.299999999998</v>
      </c>
    </row>
    <row r="13" spans="1:9" ht="18.75" thickBot="1">
      <c r="A13" s="26" t="s">
        <v>34</v>
      </c>
      <c r="B13" s="47">
        <f>B6-B8-B9-B10-B11-B12</f>
        <v>11069.999999999996</v>
      </c>
      <c r="C13" s="47">
        <f>C6-C8-C9-C10-C11-C12</f>
        <v>16606.500000000015</v>
      </c>
      <c r="D13" s="47">
        <f>D6-D8-D9-D10-D11-D12</f>
        <v>6243.600000000056</v>
      </c>
      <c r="E13" s="1">
        <f>D13/D6*100</f>
        <v>2.6732134049433016</v>
      </c>
      <c r="F13" s="1">
        <f t="shared" si="3"/>
        <v>56.40108401084063</v>
      </c>
      <c r="G13" s="1">
        <f t="shared" si="0"/>
        <v>37.59732634811701</v>
      </c>
      <c r="H13" s="48">
        <f t="shared" si="2"/>
        <v>4826.3999999999405</v>
      </c>
      <c r="I13" s="48">
        <f t="shared" si="1"/>
        <v>10362.899999999958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150808.3</v>
      </c>
      <c r="C18" s="50">
        <f>250434.1+666.5+2890.8+76.6+110</f>
        <v>254178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</f>
        <v>120971.40000000001</v>
      </c>
      <c r="E18" s="3">
        <f>D18/D150*100</f>
        <v>16.85081580016281</v>
      </c>
      <c r="F18" s="3">
        <f>D18/B18*100</f>
        <v>80.21534623757447</v>
      </c>
      <c r="G18" s="3">
        <f t="shared" si="0"/>
        <v>47.59318273021269</v>
      </c>
      <c r="H18" s="51">
        <f>B18-D18</f>
        <v>29836.89999999998</v>
      </c>
      <c r="I18" s="51">
        <f t="shared" si="1"/>
        <v>133206.59999999998</v>
      </c>
    </row>
    <row r="19" spans="1:9" s="41" customFormat="1" ht="18.75">
      <c r="A19" s="112" t="s">
        <v>99</v>
      </c>
      <c r="B19" s="105">
        <v>110247.1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</f>
        <v>89105.5</v>
      </c>
      <c r="E19" s="103">
        <f>D19/D18*100</f>
        <v>73.65831923909288</v>
      </c>
      <c r="F19" s="103">
        <f t="shared" si="3"/>
        <v>80.82344116081057</v>
      </c>
      <c r="G19" s="103">
        <f t="shared" si="0"/>
        <v>46.66675395412172</v>
      </c>
      <c r="H19" s="113">
        <f t="shared" si="2"/>
        <v>21141.600000000006</v>
      </c>
      <c r="I19" s="113">
        <f t="shared" si="1"/>
        <v>101834.5</v>
      </c>
    </row>
    <row r="20" spans="1:9" ht="18">
      <c r="A20" s="26" t="s">
        <v>5</v>
      </c>
      <c r="B20" s="46">
        <v>110417.8</v>
      </c>
      <c r="C20" s="47">
        <v>186641.3</v>
      </c>
      <c r="D20" s="48">
        <f>5722.2+1+8655.9+32.9+2.4+5725.7+8251+357.7+0.1+5829.5+27.9+3957+4812.9+26.7+6036.7+16.8+6839+2416.2+22.3+6209+10229+319.3+6468+9728.3+1605.6</f>
        <v>93293.1</v>
      </c>
      <c r="E20" s="1">
        <f>D20/D18*100</f>
        <v>77.11996389229189</v>
      </c>
      <c r="F20" s="1">
        <f t="shared" si="3"/>
        <v>84.49099692259763</v>
      </c>
      <c r="G20" s="1">
        <f t="shared" si="0"/>
        <v>49.98523906552302</v>
      </c>
      <c r="H20" s="48">
        <f t="shared" si="2"/>
        <v>17124.699999999997</v>
      </c>
      <c r="I20" s="48">
        <f t="shared" si="1"/>
        <v>93348.19999999998</v>
      </c>
    </row>
    <row r="21" spans="1:9" ht="18">
      <c r="A21" s="26" t="s">
        <v>2</v>
      </c>
      <c r="B21" s="46">
        <v>13639.4</v>
      </c>
      <c r="C21" s="47">
        <f>20454.1+500+110</f>
        <v>21064.1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</f>
        <v>9477.100000000002</v>
      </c>
      <c r="E21" s="1">
        <f>D21/D18*100</f>
        <v>7.83416576149404</v>
      </c>
      <c r="F21" s="1">
        <f t="shared" si="3"/>
        <v>69.48326172705546</v>
      </c>
      <c r="G21" s="1">
        <f t="shared" si="0"/>
        <v>44.99171576283821</v>
      </c>
      <c r="H21" s="48">
        <f t="shared" si="2"/>
        <v>4162.299999999997</v>
      </c>
      <c r="I21" s="48">
        <f t="shared" si="1"/>
        <v>11586.999999999996</v>
      </c>
    </row>
    <row r="22" spans="1:9" ht="18">
      <c r="A22" s="26" t="s">
        <v>1</v>
      </c>
      <c r="B22" s="46">
        <v>2311.8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127.7+23.6+33.5+86.7+19.5+2.9+68.3+78.1+10.6+165.4+2.5+15.8+6.5+60.2+104.3+141.7+2.3+23.7+90.2+22.1+28.3+93.7+27.2-0.1+0.2+54.7+9.9+37.6+110.2+182.3+0.1+39.2+35.9+64.9+14.2+28+147.6+14.5+0.1</f>
        <v>1974.1000000000001</v>
      </c>
      <c r="E22" s="1">
        <f>D22/D18*100</f>
        <v>1.6318733188175056</v>
      </c>
      <c r="F22" s="1">
        <f t="shared" si="3"/>
        <v>85.39233497707414</v>
      </c>
      <c r="G22" s="1">
        <f t="shared" si="0"/>
        <v>50.38668674545037</v>
      </c>
      <c r="H22" s="48">
        <f t="shared" si="2"/>
        <v>337.70000000000005</v>
      </c>
      <c r="I22" s="48">
        <f t="shared" si="1"/>
        <v>1943.8</v>
      </c>
    </row>
    <row r="23" spans="1:9" ht="18">
      <c r="A23" s="26" t="s">
        <v>0</v>
      </c>
      <c r="B23" s="46">
        <v>15670.1</v>
      </c>
      <c r="C23" s="47">
        <v>27804.4</v>
      </c>
      <c r="D23" s="48">
        <f>230.7+158.8+520.8+110.9+465.7+246.3+3.9+169.6+1975.3+126.5+2+97.4+199.5+165.4+184.4+1288.4+1114.2+20.1+11.6+1104.8+1285.8+113+130.6+146.2+28.7+1001+189.4+3.7+11.2+527.3+61.2-0.1+17+472.5+16.3+18.8+256.5+97.1+20+6.8</f>
        <v>12599.3</v>
      </c>
      <c r="E23" s="1">
        <f>D23/D18*100</f>
        <v>10.415106380516386</v>
      </c>
      <c r="F23" s="1">
        <f t="shared" si="3"/>
        <v>80.40344350067963</v>
      </c>
      <c r="G23" s="1">
        <f t="shared" si="0"/>
        <v>45.314051013508646</v>
      </c>
      <c r="H23" s="48">
        <f t="shared" si="2"/>
        <v>3070.800000000001</v>
      </c>
      <c r="I23" s="48">
        <f t="shared" si="1"/>
        <v>15205.100000000002</v>
      </c>
    </row>
    <row r="24" spans="1:9" ht="18">
      <c r="A24" s="26" t="s">
        <v>15</v>
      </c>
      <c r="B24" s="46">
        <v>939.4</v>
      </c>
      <c r="C24" s="47">
        <v>1591.6</v>
      </c>
      <c r="D24" s="48">
        <f>73.6+22.6+5.3+2.4+2.5+128.1+0.1+11.5+121.2+11.2-0.1+27.3+71.1+31.4-0.1+0.8+24.6+83.5+19.6+26.5+24.2+67.9+2.3+4</f>
        <v>761.4999999999999</v>
      </c>
      <c r="E24" s="1">
        <f>D24/D18*100</f>
        <v>0.6294876309607063</v>
      </c>
      <c r="F24" s="1">
        <f t="shared" si="3"/>
        <v>81.0623802427081</v>
      </c>
      <c r="G24" s="1">
        <f t="shared" si="0"/>
        <v>47.84493591354611</v>
      </c>
      <c r="H24" s="48">
        <f t="shared" si="2"/>
        <v>177.9000000000001</v>
      </c>
      <c r="I24" s="48">
        <f t="shared" si="1"/>
        <v>830.1</v>
      </c>
    </row>
    <row r="25" spans="1:9" ht="18.75" thickBot="1">
      <c r="A25" s="26" t="s">
        <v>34</v>
      </c>
      <c r="B25" s="47">
        <f>B18-B20-B21-B22-B23-B24</f>
        <v>7829.799999999985</v>
      </c>
      <c r="C25" s="47">
        <f>C18-C20-C21-C22-C23-C24</f>
        <v>13158.70000000001</v>
      </c>
      <c r="D25" s="47">
        <f>D18-D20-D21-D22-D23-D24</f>
        <v>2866.300000000001</v>
      </c>
      <c r="E25" s="1">
        <f>D25/D18*100</f>
        <v>2.369403015919466</v>
      </c>
      <c r="F25" s="1">
        <f t="shared" si="3"/>
        <v>36.60757618329979</v>
      </c>
      <c r="G25" s="1">
        <f t="shared" si="0"/>
        <v>21.782546908129213</v>
      </c>
      <c r="H25" s="48">
        <f t="shared" si="2"/>
        <v>4963.499999999984</v>
      </c>
      <c r="I25" s="48">
        <f t="shared" si="1"/>
        <v>10292.400000000009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31141.3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</f>
        <v>27812.1</v>
      </c>
      <c r="E33" s="3">
        <f>D33/D150*100</f>
        <v>3.8741105262542055</v>
      </c>
      <c r="F33" s="3">
        <f>D33/B33*100</f>
        <v>89.30937372556701</v>
      </c>
      <c r="G33" s="3">
        <f t="shared" si="0"/>
        <v>55.308609076608874</v>
      </c>
      <c r="H33" s="51">
        <f t="shared" si="2"/>
        <v>3329.2000000000007</v>
      </c>
      <c r="I33" s="51">
        <f t="shared" si="1"/>
        <v>22473.199999999997</v>
      </c>
    </row>
    <row r="34" spans="1:9" ht="18">
      <c r="A34" s="26" t="s">
        <v>3</v>
      </c>
      <c r="B34" s="46">
        <v>21824.9</v>
      </c>
      <c r="C34" s="47">
        <v>35016.6</v>
      </c>
      <c r="D34" s="48">
        <f>1335+1268.2+1354.9+1304.2+1357+1359.6+1365.6+1342.2+1381.4+3.9+1624.5+11.9+0.1+10+3950.5+2820.4+0.1+74+93.6+20</f>
        <v>20677.1</v>
      </c>
      <c r="E34" s="1">
        <f>D34/D33*100</f>
        <v>74.34569845498902</v>
      </c>
      <c r="F34" s="1">
        <f t="shared" si="3"/>
        <v>94.74086937397192</v>
      </c>
      <c r="G34" s="1">
        <f t="shared" si="0"/>
        <v>59.04942227400718</v>
      </c>
      <c r="H34" s="48">
        <f t="shared" si="2"/>
        <v>1147.800000000003</v>
      </c>
      <c r="I34" s="48">
        <f t="shared" si="1"/>
        <v>14339.5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1863.4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10.5+61.2+112+1.1+10.5+29.3+0.6+6.8+9.7+3.4+19.2+41.9-0.2+31.7+187.3+26+0.6+2.4+24.9+11.7+8.1+0.1+179+19+1+1.3+0.4+1.8+4.5+241.4+76.8+24.3+5.1+0.7+0.9+17.4+1.9+1.5+0.3+21.8+2.3+2+18.1+0.3+0.3+0.1+3+3.8+0.3+2+1.3+8.7-0.1+0.3+1.1+0.2</f>
        <v>1241.5999999999997</v>
      </c>
      <c r="E36" s="1">
        <f>D36/D33*100</f>
        <v>4.46424398013814</v>
      </c>
      <c r="F36" s="1">
        <f t="shared" si="3"/>
        <v>66.63088977138561</v>
      </c>
      <c r="G36" s="1">
        <f t="shared" si="0"/>
        <v>36.68597092542252</v>
      </c>
      <c r="H36" s="48">
        <f t="shared" si="2"/>
        <v>621.8000000000004</v>
      </c>
      <c r="I36" s="48">
        <f t="shared" si="1"/>
        <v>2142.8</v>
      </c>
    </row>
    <row r="37" spans="1:9" s="41" customFormat="1" ht="18.75">
      <c r="A37" s="20" t="s">
        <v>7</v>
      </c>
      <c r="B37" s="55">
        <v>613.1</v>
      </c>
      <c r="C37" s="56">
        <v>929.3</v>
      </c>
      <c r="D37" s="57">
        <f>11.2+19.5+15.2+5+5.7-0.1+1.9+5.1+7+0.3+7.7+25.8+82+15.4+14.3+13.2+14.4+42.6+0.1+37.6+3+2.6+0.8+1.6</f>
        <v>331.90000000000015</v>
      </c>
      <c r="E37" s="17">
        <f>D37/D33*100</f>
        <v>1.1933654776158584</v>
      </c>
      <c r="F37" s="17">
        <f t="shared" si="3"/>
        <v>54.134725167183184</v>
      </c>
      <c r="G37" s="17">
        <f t="shared" si="0"/>
        <v>35.71505434197785</v>
      </c>
      <c r="H37" s="57">
        <f t="shared" si="2"/>
        <v>281.1999999999999</v>
      </c>
      <c r="I37" s="57">
        <f t="shared" si="1"/>
        <v>597.3999999999999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0.09168671189877788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6814.399999999998</v>
      </c>
      <c r="C39" s="46">
        <f>C33-C34-C36-C37-C35-C38</f>
        <v>10894.199999999999</v>
      </c>
      <c r="D39" s="46">
        <f>D33-D34-D36-D37-D35-D38</f>
        <v>5536</v>
      </c>
      <c r="E39" s="1">
        <f>D39/D33*100</f>
        <v>19.905005375358208</v>
      </c>
      <c r="F39" s="1">
        <f t="shared" si="3"/>
        <v>81.23972763559524</v>
      </c>
      <c r="G39" s="1">
        <f t="shared" si="0"/>
        <v>50.81603054836519</v>
      </c>
      <c r="H39" s="48">
        <f>B39-D39</f>
        <v>1278.3999999999978</v>
      </c>
      <c r="I39" s="48">
        <f t="shared" si="1"/>
        <v>5358.199999999999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602.2+0.8</f>
        <v>603</v>
      </c>
      <c r="C43" s="50">
        <f>829.5+61+9+3+3</f>
        <v>905.5</v>
      </c>
      <c r="D43" s="51">
        <f>22.2+3+5+12.1+5.3+62.1+8.7+22.7+11.7+44.1-0.1+8.7+8.3+9+2+12.1+30.9+11+14.3+28.5+0.1+1.2+34+0.6+0.1+2.3+3+1.5+17.9+19.5+82.4-0.1+0.8</f>
        <v>484.90000000000003</v>
      </c>
      <c r="E43" s="3">
        <f>D43/D150*100</f>
        <v>0.06754456492608127</v>
      </c>
      <c r="F43" s="3">
        <f>D43/B43*100</f>
        <v>80.41459369817579</v>
      </c>
      <c r="G43" s="3">
        <f t="shared" si="0"/>
        <v>53.55052457205964</v>
      </c>
      <c r="H43" s="51">
        <f t="shared" si="2"/>
        <v>118.09999999999997</v>
      </c>
      <c r="I43" s="51">
        <f t="shared" si="1"/>
        <v>420.59999999999997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4472.4</v>
      </c>
      <c r="C45" s="50">
        <v>7741.6</v>
      </c>
      <c r="D45" s="51">
        <f>224.1+260.8+14.4+236.4+3.2+114.6+291.3+0.1+96+241.4+13.4+0.1+331+0.7-0.1+39.8+268.9+0.5+9.3+307.6+278.3+1.8+5.2+302.3+9.3+4.6+275.3+25.3+352.3+6.4+0.1+14.8</f>
        <v>3729.200000000001</v>
      </c>
      <c r="E45" s="3">
        <f>D45/D150*100</f>
        <v>0.5194621396624919</v>
      </c>
      <c r="F45" s="3">
        <f>D45/B45*100</f>
        <v>83.38252392451484</v>
      </c>
      <c r="G45" s="3">
        <f aca="true" t="shared" si="4" ref="G45:G76">D45/C45*100</f>
        <v>48.17092073989874</v>
      </c>
      <c r="H45" s="51">
        <f>B45-D45</f>
        <v>743.1999999999985</v>
      </c>
      <c r="I45" s="51">
        <f aca="true" t="shared" si="5" ref="I45:I77">C45-D45</f>
        <v>4012.399999999999</v>
      </c>
    </row>
    <row r="46" spans="1:9" ht="18">
      <c r="A46" s="26" t="s">
        <v>3</v>
      </c>
      <c r="B46" s="46">
        <v>3906.1</v>
      </c>
      <c r="C46" s="47">
        <v>6753.6</v>
      </c>
      <c r="D46" s="48">
        <f>224.1+258.6+235.3+288.8+241.4+328.6+224.6+306.6+239.4+298.3+269.8+13.5+346.9</f>
        <v>3275.9000000000005</v>
      </c>
      <c r="E46" s="1">
        <f>D46/D45*100</f>
        <v>87.84457792556043</v>
      </c>
      <c r="F46" s="1">
        <f aca="true" t="shared" si="6" ref="F46:F74">D46/B46*100</f>
        <v>83.86626046440185</v>
      </c>
      <c r="G46" s="1">
        <f t="shared" si="4"/>
        <v>48.50598199478797</v>
      </c>
      <c r="H46" s="48">
        <f aca="true" t="shared" si="7" ref="H46:H74">B46-D46</f>
        <v>630.1999999999994</v>
      </c>
      <c r="I46" s="48">
        <f t="shared" si="5"/>
        <v>3477.7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0.021452322213879646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37</v>
      </c>
      <c r="C48" s="47">
        <v>70.7</v>
      </c>
      <c r="D48" s="48">
        <f>0.2+2.1+0.1+6.5+6.7-0.1+7+4.6+1.6+2</f>
        <v>30.700000000000003</v>
      </c>
      <c r="E48" s="1">
        <f>D48/D45*100</f>
        <v>0.8232328649576315</v>
      </c>
      <c r="F48" s="1">
        <f t="shared" si="6"/>
        <v>82.97297297297298</v>
      </c>
      <c r="G48" s="1">
        <f t="shared" si="4"/>
        <v>43.42291371994342</v>
      </c>
      <c r="H48" s="48">
        <f t="shared" si="7"/>
        <v>6.299999999999997</v>
      </c>
      <c r="I48" s="48">
        <f t="shared" si="5"/>
        <v>40</v>
      </c>
    </row>
    <row r="49" spans="1:9" ht="18">
      <c r="A49" s="26" t="s">
        <v>0</v>
      </c>
      <c r="B49" s="46">
        <v>328.1</v>
      </c>
      <c r="C49" s="47">
        <v>568.5</v>
      </c>
      <c r="D49" s="48">
        <f>2.2+2.5+0.8+112.4+2.2+0.1+69.1+4.4-0.1+35.2+27.4+4.8+1+22.3+2.5+1.6+0.6+4.2-0.1</f>
        <v>293.1</v>
      </c>
      <c r="E49" s="1">
        <f>D49/D45*100</f>
        <v>7.859594551110156</v>
      </c>
      <c r="F49" s="1">
        <f t="shared" si="6"/>
        <v>89.33252057299605</v>
      </c>
      <c r="G49" s="1">
        <f t="shared" si="4"/>
        <v>51.556728232189975</v>
      </c>
      <c r="H49" s="48">
        <f t="shared" si="7"/>
        <v>35</v>
      </c>
      <c r="I49" s="48">
        <f t="shared" si="5"/>
        <v>275.4</v>
      </c>
    </row>
    <row r="50" spans="1:9" ht="18.75" thickBot="1">
      <c r="A50" s="26" t="s">
        <v>34</v>
      </c>
      <c r="B50" s="47">
        <f>B45-B46-B49-B48-B47</f>
        <v>200.3999999999997</v>
      </c>
      <c r="C50" s="47">
        <f>C45-C46-C49-C48-C47</f>
        <v>347.5</v>
      </c>
      <c r="D50" s="47">
        <f>D45-D46-D49-D48-D47</f>
        <v>128.7000000000006</v>
      </c>
      <c r="E50" s="1">
        <f>D50/D45*100</f>
        <v>3.4511423361579046</v>
      </c>
      <c r="F50" s="1">
        <f t="shared" si="6"/>
        <v>64.22155688622794</v>
      </c>
      <c r="G50" s="1">
        <f t="shared" si="4"/>
        <v>37.03597122302176</v>
      </c>
      <c r="H50" s="48">
        <f t="shared" si="7"/>
        <v>71.69999999999908</v>
      </c>
      <c r="I50" s="48">
        <f t="shared" si="5"/>
        <v>218.7999999999994</v>
      </c>
    </row>
    <row r="51" spans="1:9" ht="18.75" thickBot="1">
      <c r="A51" s="25" t="s">
        <v>4</v>
      </c>
      <c r="B51" s="49">
        <v>10673.7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</f>
        <v>7636.2999999999965</v>
      </c>
      <c r="E51" s="3">
        <f>D51/D150*100</f>
        <v>1.0637050137039268</v>
      </c>
      <c r="F51" s="3">
        <f>D51/B51*100</f>
        <v>71.54313874289137</v>
      </c>
      <c r="G51" s="3">
        <f t="shared" si="4"/>
        <v>44.54964967242474</v>
      </c>
      <c r="H51" s="51">
        <f>B51-D51</f>
        <v>3037.400000000004</v>
      </c>
      <c r="I51" s="51">
        <f t="shared" si="5"/>
        <v>9504.800000000003</v>
      </c>
    </row>
    <row r="52" spans="1:9" ht="18">
      <c r="A52" s="26" t="s">
        <v>3</v>
      </c>
      <c r="B52" s="46">
        <v>6186.2</v>
      </c>
      <c r="C52" s="47">
        <v>10328.7</v>
      </c>
      <c r="D52" s="48">
        <f>8+294.9+437.7+298.5+423.7+297.9+451.2+294.5+446+301+554.2+412+820.4</f>
        <v>5039.999999999999</v>
      </c>
      <c r="E52" s="1">
        <f>D52/D51*100</f>
        <v>66.00055000458339</v>
      </c>
      <c r="F52" s="1">
        <f t="shared" si="6"/>
        <v>81.4716627331803</v>
      </c>
      <c r="G52" s="1">
        <f t="shared" si="4"/>
        <v>48.796073077928476</v>
      </c>
      <c r="H52" s="48">
        <f t="shared" si="7"/>
        <v>1146.2000000000007</v>
      </c>
      <c r="I52" s="48">
        <f t="shared" si="5"/>
        <v>5288.700000000002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164.3</v>
      </c>
      <c r="C54" s="47">
        <v>287</v>
      </c>
      <c r="D54" s="48">
        <f>1.3+0.7+2.1+1+1.3+7.6+7.5+6.3+0.4+13+20.7+0.5+5.3+9.4+10+8.9+5.1+7.2+1-0.1+17.9+7.1</f>
        <v>134.20000000000002</v>
      </c>
      <c r="E54" s="1">
        <f>D54/D51*100</f>
        <v>1.7573955973442645</v>
      </c>
      <c r="F54" s="1">
        <f t="shared" si="6"/>
        <v>81.67985392574559</v>
      </c>
      <c r="G54" s="1">
        <f t="shared" si="4"/>
        <v>46.75958188153311</v>
      </c>
      <c r="H54" s="48">
        <f t="shared" si="7"/>
        <v>30.099999999999994</v>
      </c>
      <c r="I54" s="48">
        <f t="shared" si="5"/>
        <v>152.79999999999998</v>
      </c>
    </row>
    <row r="55" spans="1:9" ht="18">
      <c r="A55" s="26" t="s">
        <v>0</v>
      </c>
      <c r="B55" s="46">
        <v>576.9</v>
      </c>
      <c r="C55" s="47">
        <v>933.1</v>
      </c>
      <c r="D55" s="48">
        <f>10.7+0.6+7.6+85.1+28.4+14.4+0.1+8.5+0.1+7+0.1+7.7+62.8+6+1.3+0.9+0.9+1+0.7+0.1+4.7+15.2+34.9+9+4+15.8+5.5+7+1.9+1.5+0.1+2.4+1.8+3.7+1.3+4.5+2.3</f>
        <v>359.59999999999997</v>
      </c>
      <c r="E55" s="1">
        <f>D55/D51*100</f>
        <v>4.7090868614381325</v>
      </c>
      <c r="F55" s="1">
        <f t="shared" si="6"/>
        <v>62.33315999306639</v>
      </c>
      <c r="G55" s="1">
        <f t="shared" si="4"/>
        <v>38.538205980066444</v>
      </c>
      <c r="H55" s="48">
        <f t="shared" si="7"/>
        <v>217.3</v>
      </c>
      <c r="I55" s="48">
        <f t="shared" si="5"/>
        <v>573.5</v>
      </c>
    </row>
    <row r="56" spans="1:9" ht="18">
      <c r="A56" s="26" t="s">
        <v>15</v>
      </c>
      <c r="B56" s="46">
        <v>200</v>
      </c>
      <c r="C56" s="47">
        <v>200</v>
      </c>
      <c r="D56" s="134">
        <f>40</f>
        <v>40</v>
      </c>
      <c r="E56" s="1">
        <f>D56/D51*100</f>
        <v>0.523813888925265</v>
      </c>
      <c r="F56" s="1">
        <f>D56/B56*100</f>
        <v>20</v>
      </c>
      <c r="G56" s="1">
        <f>D56/C56*100</f>
        <v>20</v>
      </c>
      <c r="H56" s="48">
        <f t="shared" si="7"/>
        <v>160</v>
      </c>
      <c r="I56" s="48">
        <f t="shared" si="5"/>
        <v>160</v>
      </c>
    </row>
    <row r="57" spans="1:9" ht="18.75" thickBot="1">
      <c r="A57" s="26" t="s">
        <v>34</v>
      </c>
      <c r="B57" s="47">
        <f>B51-B52-B55-B54-B53-B56</f>
        <v>3546.3000000000006</v>
      </c>
      <c r="C57" s="47">
        <f>C51-C52-C55-C54-C53-C56</f>
        <v>5380.299999999997</v>
      </c>
      <c r="D57" s="47">
        <f>D51-D52-D55-D54-D53-D56</f>
        <v>2062.4999999999977</v>
      </c>
      <c r="E57" s="1">
        <f>D57/D51*100</f>
        <v>27.00915364770895</v>
      </c>
      <c r="F57" s="1">
        <f t="shared" si="6"/>
        <v>58.159208188816436</v>
      </c>
      <c r="G57" s="1">
        <f t="shared" si="4"/>
        <v>38.334293626749414</v>
      </c>
      <c r="H57" s="48">
        <f>B57-D57</f>
        <v>1483.800000000003</v>
      </c>
      <c r="I57" s="48">
        <f>C57-D57</f>
        <v>3317.7999999999997</v>
      </c>
    </row>
    <row r="58" spans="1:9" s="41" customFormat="1" ht="19.5" hidden="1" thickBot="1">
      <c r="A58" s="104" t="s">
        <v>82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v>5135.6</v>
      </c>
      <c r="C59" s="50">
        <f>5881.8+134.4+115.2</f>
        <v>6131.4</v>
      </c>
      <c r="D59" s="51">
        <f>43.5+4.7+72.8+47.2+46+5+62.5+3.8+40.9+35.3+2.1+2.9+21.1+3.9+86.8+0.2+2.7+44.1+47.3+140.1+0.1+45.6+13.8+0.9+95.5-0.1+6.7+60.6+0.7+0.5+92.7+2.8+4</f>
        <v>1036.7</v>
      </c>
      <c r="E59" s="3">
        <f>D59/D150*100</f>
        <v>0.14440802321894916</v>
      </c>
      <c r="F59" s="3">
        <f>D59/B59*100</f>
        <v>20.18654100786666</v>
      </c>
      <c r="G59" s="3">
        <f t="shared" si="4"/>
        <v>16.90804710180383</v>
      </c>
      <c r="H59" s="51">
        <f>B59-D59</f>
        <v>4098.900000000001</v>
      </c>
      <c r="I59" s="51">
        <f t="shared" si="5"/>
        <v>5094.7</v>
      </c>
    </row>
    <row r="60" spans="1:9" ht="18">
      <c r="A60" s="26" t="s">
        <v>3</v>
      </c>
      <c r="B60" s="46">
        <v>992.9</v>
      </c>
      <c r="C60" s="47">
        <f>1508.2+134.4</f>
        <v>1642.6000000000001</v>
      </c>
      <c r="D60" s="48">
        <f>43.5+72.8+47.2+62.5+0.1+35.3+86.8+44.1+125.7+41.4+92.3+60.6+92.7</f>
        <v>805</v>
      </c>
      <c r="E60" s="1">
        <f>D60/D59*100</f>
        <v>77.65023632680621</v>
      </c>
      <c r="F60" s="1">
        <f t="shared" si="6"/>
        <v>81.07563702286232</v>
      </c>
      <c r="G60" s="1">
        <f t="shared" si="4"/>
        <v>49.007670765859004</v>
      </c>
      <c r="H60" s="48">
        <f t="shared" si="7"/>
        <v>187.89999999999998</v>
      </c>
      <c r="I60" s="48">
        <f t="shared" si="5"/>
        <v>837.6000000000001</v>
      </c>
    </row>
    <row r="61" spans="1:9" ht="18">
      <c r="A61" s="26" t="s">
        <v>1</v>
      </c>
      <c r="B61" s="46">
        <v>331.8</v>
      </c>
      <c r="C61" s="47">
        <v>331.8</v>
      </c>
      <c r="D61" s="48"/>
      <c r="E61" s="1">
        <f>D61/D59*100</f>
        <v>0</v>
      </c>
      <c r="F61" s="1">
        <f>D61/B61*100</f>
        <v>0</v>
      </c>
      <c r="G61" s="1">
        <f t="shared" si="4"/>
        <v>0</v>
      </c>
      <c r="H61" s="48">
        <f t="shared" si="7"/>
        <v>331.8</v>
      </c>
      <c r="I61" s="48">
        <f t="shared" si="5"/>
        <v>331.8</v>
      </c>
    </row>
    <row r="62" spans="1:9" ht="18">
      <c r="A62" s="26" t="s">
        <v>0</v>
      </c>
      <c r="B62" s="46">
        <v>368.1</v>
      </c>
      <c r="C62" s="47">
        <v>627.5</v>
      </c>
      <c r="D62" s="48">
        <f>4.7+45.7+4.9+40.9+19.8+3.9+46.3+9+12.6+0.9+3+0.3+2.8</f>
        <v>194.8</v>
      </c>
      <c r="E62" s="1">
        <f>D62/D59*100</f>
        <v>18.790392591878074</v>
      </c>
      <c r="F62" s="1">
        <f t="shared" si="6"/>
        <v>52.920402064656344</v>
      </c>
      <c r="G62" s="1">
        <f t="shared" si="4"/>
        <v>31.04382470119522</v>
      </c>
      <c r="H62" s="48">
        <f t="shared" si="7"/>
        <v>173.3</v>
      </c>
      <c r="I62" s="48">
        <f t="shared" si="5"/>
        <v>432.7</v>
      </c>
    </row>
    <row r="63" spans="1:9" ht="18">
      <c r="A63" s="26" t="s">
        <v>15</v>
      </c>
      <c r="B63" s="46">
        <v>3331.4</v>
      </c>
      <c r="C63" s="47">
        <f>3216.2+115.2</f>
        <v>3331.3999999999996</v>
      </c>
      <c r="D63" s="48"/>
      <c r="E63" s="1">
        <f>D63/D59*100</f>
        <v>0</v>
      </c>
      <c r="F63" s="1">
        <f t="shared" si="6"/>
        <v>0</v>
      </c>
      <c r="G63" s="1">
        <f t="shared" si="4"/>
        <v>0</v>
      </c>
      <c r="H63" s="48">
        <f t="shared" si="7"/>
        <v>3331.4</v>
      </c>
      <c r="I63" s="48">
        <f t="shared" si="5"/>
        <v>3331.3999999999996</v>
      </c>
    </row>
    <row r="64" spans="1:9" ht="18.75" thickBot="1">
      <c r="A64" s="26" t="s">
        <v>34</v>
      </c>
      <c r="B64" s="47">
        <f>B59-B60-B62-B63-B61</f>
        <v>111.40000000000072</v>
      </c>
      <c r="C64" s="47">
        <f>C59-C60-C62-C63-C61</f>
        <v>198.09999999999962</v>
      </c>
      <c r="D64" s="47">
        <f>D59-D60-D62-D63-D61</f>
        <v>36.900000000000034</v>
      </c>
      <c r="E64" s="1">
        <f>D64/D59*100</f>
        <v>3.559371081315717</v>
      </c>
      <c r="F64" s="1">
        <f t="shared" si="6"/>
        <v>33.12387791741454</v>
      </c>
      <c r="G64" s="1">
        <f t="shared" si="4"/>
        <v>18.626956082786524</v>
      </c>
      <c r="H64" s="48">
        <f t="shared" si="7"/>
        <v>74.50000000000068</v>
      </c>
      <c r="I64" s="48">
        <f t="shared" si="5"/>
        <v>161.1999999999996</v>
      </c>
    </row>
    <row r="65" spans="1:9" s="41" customFormat="1" ht="19.5" hidden="1" thickBot="1">
      <c r="A65" s="104" t="s">
        <v>93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79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80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81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327.9</v>
      </c>
      <c r="C69" s="50">
        <f>C70+C71</f>
        <v>538.5</v>
      </c>
      <c r="D69" s="51">
        <f>SUM(D70:D71)</f>
        <v>179.5</v>
      </c>
      <c r="E69" s="39">
        <f>D69/D150*100</f>
        <v>0.025003607762902835</v>
      </c>
      <c r="F69" s="3">
        <f>D69/B69*100</f>
        <v>54.74229948154926</v>
      </c>
      <c r="G69" s="3">
        <f t="shared" si="4"/>
        <v>33.33333333333333</v>
      </c>
      <c r="H69" s="51">
        <f>B69-D69</f>
        <v>148.39999999999998</v>
      </c>
      <c r="I69" s="51">
        <f t="shared" si="5"/>
        <v>359</v>
      </c>
    </row>
    <row r="70" spans="1:9" ht="18">
      <c r="A70" s="26" t="s">
        <v>8</v>
      </c>
      <c r="B70" s="46">
        <v>170.9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8">
        <f t="shared" si="7"/>
        <v>1</v>
      </c>
      <c r="I70" s="48">
        <f t="shared" si="5"/>
        <v>1.0999999999999943</v>
      </c>
    </row>
    <row r="71" spans="1:9" ht="18.75" thickBot="1">
      <c r="A71" s="26" t="s">
        <v>9</v>
      </c>
      <c r="B71" s="46">
        <v>157</v>
      </c>
      <c r="C71" s="47">
        <f>253.4-6+145-41+16.1</f>
        <v>367.5</v>
      </c>
      <c r="D71" s="48">
        <f>9.6</f>
        <v>9.6</v>
      </c>
      <c r="E71" s="1">
        <f>D71/D70*100</f>
        <v>5.650382577987051</v>
      </c>
      <c r="F71" s="1">
        <f t="shared" si="6"/>
        <v>6.114649681528663</v>
      </c>
      <c r="G71" s="1">
        <f t="shared" si="4"/>
        <v>2.6122448979591835</v>
      </c>
      <c r="H71" s="48">
        <f t="shared" si="7"/>
        <v>147.4</v>
      </c>
      <c r="I71" s="48">
        <f t="shared" si="5"/>
        <v>357.9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0</v>
      </c>
      <c r="C77" s="66">
        <f>10000-8192</f>
        <v>1808</v>
      </c>
      <c r="D77" s="67"/>
      <c r="E77" s="45"/>
      <c r="F77" s="45"/>
      <c r="G77" s="45"/>
      <c r="H77" s="67">
        <f>B77-D77</f>
        <v>0</v>
      </c>
      <c r="I77" s="67">
        <f t="shared" si="5"/>
        <v>1808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73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72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v>36578.9</v>
      </c>
      <c r="C90" s="50">
        <f>50201.5+5861+2853.8+11.8-0.1</f>
        <v>58928.00000000001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</f>
        <v>28799.6</v>
      </c>
      <c r="E90" s="3">
        <f>D90/D150*100</f>
        <v>4.011665192916415</v>
      </c>
      <c r="F90" s="3">
        <f aca="true" t="shared" si="10" ref="F90:F96">D90/B90*100</f>
        <v>78.732821380632</v>
      </c>
      <c r="G90" s="3">
        <f t="shared" si="8"/>
        <v>48.87252240021721</v>
      </c>
      <c r="H90" s="51">
        <f aca="true" t="shared" si="11" ref="H90:H96">B90-D90</f>
        <v>7779.300000000003</v>
      </c>
      <c r="I90" s="51">
        <f t="shared" si="9"/>
        <v>30128.40000000001</v>
      </c>
    </row>
    <row r="91" spans="1:9" ht="18">
      <c r="A91" s="26" t="s">
        <v>3</v>
      </c>
      <c r="B91" s="46">
        <v>30600.3</v>
      </c>
      <c r="C91" s="47">
        <f>41785.6+5825.3+1852.2</f>
        <v>49463.1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</f>
        <v>24373.4</v>
      </c>
      <c r="E91" s="1">
        <f>D91/D90*100</f>
        <v>84.63103654217421</v>
      </c>
      <c r="F91" s="1">
        <f t="shared" si="10"/>
        <v>79.65085309621148</v>
      </c>
      <c r="G91" s="1">
        <f t="shared" si="8"/>
        <v>49.27592488137622</v>
      </c>
      <c r="H91" s="48">
        <f t="shared" si="11"/>
        <v>6226.899999999998</v>
      </c>
      <c r="I91" s="48">
        <f t="shared" si="9"/>
        <v>25089.699999999997</v>
      </c>
    </row>
    <row r="92" spans="1:9" ht="18">
      <c r="A92" s="26" t="s">
        <v>32</v>
      </c>
      <c r="B92" s="46">
        <v>1204.7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9.8+96.8+35.3+50.2+1.4+30+1.1+18.1+138.1+43.8+4.2+9.3+27.5+5.8+0.2+2.4+1+11.7+14.7+34.3+26.9+2.8+30.4+0.1+10.2+1.4+0.2+22+131.7+1.9+1.6+30.8+150.2+0.9+0.6+2.2+0.6+31.6+20.6</f>
        <v>1002.4</v>
      </c>
      <c r="E92" s="1">
        <f>D92/D90*100</f>
        <v>3.4806038972763513</v>
      </c>
      <c r="F92" s="1">
        <f t="shared" si="10"/>
        <v>83.20743753631609</v>
      </c>
      <c r="G92" s="1">
        <f t="shared" si="8"/>
        <v>47.25181483925709</v>
      </c>
      <c r="H92" s="48">
        <f t="shared" si="11"/>
        <v>202.30000000000007</v>
      </c>
      <c r="I92" s="48">
        <f t="shared" si="9"/>
        <v>1119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4773.900000000002</v>
      </c>
      <c r="C94" s="47">
        <f>C90-C91-C92-C93</f>
        <v>7343.500000000009</v>
      </c>
      <c r="D94" s="47">
        <f>D90-D91-D92-D93</f>
        <v>3423.799999999997</v>
      </c>
      <c r="E94" s="1">
        <f>D94/D90*100</f>
        <v>11.888359560549443</v>
      </c>
      <c r="F94" s="1">
        <f t="shared" si="10"/>
        <v>71.71913948763056</v>
      </c>
      <c r="G94" s="1">
        <f>D94/C94*100</f>
        <v>46.6235446313065</v>
      </c>
      <c r="H94" s="48">
        <f t="shared" si="11"/>
        <v>1350.1000000000054</v>
      </c>
      <c r="I94" s="48">
        <f>C94-D94</f>
        <v>3919.700000000012</v>
      </c>
    </row>
    <row r="95" spans="1:9" ht="18.75">
      <c r="A95" s="116" t="s">
        <v>12</v>
      </c>
      <c r="B95" s="119">
        <v>54440.9</v>
      </c>
      <c r="C95" s="121">
        <f>63500.4+11490.6+4535.2-1.1</f>
        <v>79525.09999999999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</f>
        <v>45679.200000000004</v>
      </c>
      <c r="E95" s="115">
        <f>D95/D150*100</f>
        <v>6.362923675338113</v>
      </c>
      <c r="F95" s="118">
        <f t="shared" si="10"/>
        <v>83.906033882614</v>
      </c>
      <c r="G95" s="114">
        <f>D95/C95*100</f>
        <v>57.439978069816966</v>
      </c>
      <c r="H95" s="120">
        <f t="shared" si="11"/>
        <v>8761.699999999997</v>
      </c>
      <c r="I95" s="130">
        <f>C95-D95</f>
        <v>33845.89999999999</v>
      </c>
    </row>
    <row r="96" spans="1:9" ht="18.75" thickBot="1">
      <c r="A96" s="117" t="s">
        <v>100</v>
      </c>
      <c r="B96" s="122">
        <v>3437.3</v>
      </c>
      <c r="C96" s="123">
        <f>5343.5+287.2</f>
        <v>5630.7</v>
      </c>
      <c r="D96" s="124">
        <f>57.3+368.5+61.1+0.1+320+59+0.8+309+245.5+61.2+0.4-0.1+489+12.5+64.8+24.2+437.3+329.2+2.4+382.5+3.4</f>
        <v>3228.1000000000004</v>
      </c>
      <c r="E96" s="125">
        <f>D96/D95*100</f>
        <v>7.066892590062873</v>
      </c>
      <c r="F96" s="126">
        <f t="shared" si="10"/>
        <v>93.91382771361243</v>
      </c>
      <c r="G96" s="127">
        <f>D96/C96*100</f>
        <v>57.33034969009183</v>
      </c>
      <c r="H96" s="131">
        <f t="shared" si="11"/>
        <v>209.19999999999982</v>
      </c>
      <c r="I96" s="132">
        <f>C96-D96</f>
        <v>2402.5999999999995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v>6018.5</v>
      </c>
      <c r="C102" s="100">
        <f>10703.3-154-3.5-134.3</f>
        <v>10411.5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</f>
        <v>4536.3</v>
      </c>
      <c r="E102" s="22">
        <f>D102/D150*100</f>
        <v>0.631887832283321</v>
      </c>
      <c r="F102" s="22">
        <f>D102/B102*100</f>
        <v>75.37260114646507</v>
      </c>
      <c r="G102" s="22">
        <f aca="true" t="shared" si="12" ref="G102:G148">D102/C102*100</f>
        <v>43.57009076501945</v>
      </c>
      <c r="H102" s="87">
        <f aca="true" t="shared" si="13" ref="H102:H107">B102-D102</f>
        <v>1482.1999999999998</v>
      </c>
      <c r="I102" s="87">
        <f aca="true" t="shared" si="14" ref="I102:I148">C102-D102</f>
        <v>5875.2</v>
      </c>
    </row>
    <row r="103" spans="1:9" ht="18">
      <c r="A103" s="26" t="s">
        <v>3</v>
      </c>
      <c r="B103" s="97">
        <v>91.9</v>
      </c>
      <c r="C103" s="95">
        <v>187.6</v>
      </c>
      <c r="D103" s="95">
        <f>15.1+18.9-0.1</f>
        <v>33.9</v>
      </c>
      <c r="E103" s="91">
        <f>D103/D102*100</f>
        <v>0.7473050724158454</v>
      </c>
      <c r="F103" s="1">
        <f>D103/B103*100</f>
        <v>36.88792165397171</v>
      </c>
      <c r="G103" s="91">
        <f>D103/C103*100</f>
        <v>18.070362473347547</v>
      </c>
      <c r="H103" s="95">
        <f t="shared" si="13"/>
        <v>58.00000000000001</v>
      </c>
      <c r="I103" s="95">
        <f t="shared" si="14"/>
        <v>153.7</v>
      </c>
    </row>
    <row r="104" spans="1:9" ht="18">
      <c r="A104" s="93" t="s">
        <v>60</v>
      </c>
      <c r="B104" s="78">
        <v>4885.7</v>
      </c>
      <c r="C104" s="48">
        <f>8863.3-154-3.5-134.3</f>
        <v>8571.5</v>
      </c>
      <c r="D104" s="48">
        <f>39.8+388.5+20.6+2+26+40+4.1+126.5+407.9+18+31.2+40.6+134.1+2+40+303.9+135.8+32.6+7.9+0.1+62.1+159.2+45.1+355.5+2+51.4+35.4+235.2+53.1+32+115.3+110.8+43.6+27+79.7+149.6+58+51.2+190+5+10+27.6+137.4+57.3+28.2+0.1+71.7+17.8</f>
        <v>4012.899999999999</v>
      </c>
      <c r="E104" s="1">
        <f>D104/D102*100</f>
        <v>88.46196239225799</v>
      </c>
      <c r="F104" s="1">
        <f aca="true" t="shared" si="15" ref="F104:F148">D104/B104*100</f>
        <v>82.13562027959145</v>
      </c>
      <c r="G104" s="1">
        <f t="shared" si="12"/>
        <v>46.81677652686227</v>
      </c>
      <c r="H104" s="48">
        <f t="shared" si="13"/>
        <v>872.8000000000006</v>
      </c>
      <c r="I104" s="48">
        <f t="shared" si="14"/>
        <v>4558.6</v>
      </c>
    </row>
    <row r="105" spans="1:9" ht="54.75" hidden="1" thickBot="1">
      <c r="A105" s="94" t="s">
        <v>96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1040.9000000000005</v>
      </c>
      <c r="C106" s="96">
        <f>C102-C103-C104</f>
        <v>1652.3999999999996</v>
      </c>
      <c r="D106" s="96">
        <f>D102-D103-D104</f>
        <v>489.50000000000136</v>
      </c>
      <c r="E106" s="92">
        <f>D106/D102*100</f>
        <v>10.790732535326176</v>
      </c>
      <c r="F106" s="92">
        <f t="shared" si="15"/>
        <v>47.0266115861275</v>
      </c>
      <c r="G106" s="92">
        <f t="shared" si="12"/>
        <v>29.623577826192292</v>
      </c>
      <c r="H106" s="132">
        <f>B106-D106</f>
        <v>551.3999999999992</v>
      </c>
      <c r="I106" s="132">
        <f t="shared" si="14"/>
        <v>1162.8999999999983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311165.69999999995</v>
      </c>
      <c r="C107" s="89">
        <f>SUM(C108:C147)-C115-C119+C148-C139-C140-C109-C112-C122-C123-C137-C131-C129</f>
        <v>479833.89999999997</v>
      </c>
      <c r="D107" s="89">
        <f>SUM(D108:D147)-D115-D119+D148-D139-D140-D109-D112-D122-D123-D137-D131-D129</f>
        <v>243469.60000000003</v>
      </c>
      <c r="E107" s="90">
        <f>D107/D150*100</f>
        <v>33.91430852696852</v>
      </c>
      <c r="F107" s="90">
        <f>D107/B107*100</f>
        <v>78.24435662413951</v>
      </c>
      <c r="G107" s="90">
        <f t="shared" si="12"/>
        <v>50.740391623017885</v>
      </c>
      <c r="H107" s="89">
        <f t="shared" si="13"/>
        <v>67696.09999999992</v>
      </c>
      <c r="I107" s="89">
        <f t="shared" si="14"/>
        <v>236364.29999999993</v>
      </c>
    </row>
    <row r="108" spans="1:9" ht="37.5">
      <c r="A108" s="31" t="s">
        <v>64</v>
      </c>
      <c r="B108" s="75">
        <v>1264.4</v>
      </c>
      <c r="C108" s="71">
        <v>2166.2</v>
      </c>
      <c r="D108" s="76">
        <f>142.7+0.9+78.6+37.4+44.2+140.1+1+20.9+25.7+0.2+2+0.6+0.4+1.8+1.5-0.1+62.6+2.1+1.9+2.9+1+9.8+0.1+52+4.8+2+1.2+2+5.2+2.6-0.1+56.3+43+2.2</f>
        <v>749.4999999999999</v>
      </c>
      <c r="E108" s="6">
        <f>D108/D107*100</f>
        <v>0.3078413074979381</v>
      </c>
      <c r="F108" s="6">
        <f t="shared" si="15"/>
        <v>59.277127491300206</v>
      </c>
      <c r="G108" s="6">
        <f t="shared" si="12"/>
        <v>34.59975994829655</v>
      </c>
      <c r="H108" s="65">
        <f aca="true" t="shared" si="16" ref="H108:H148">B108-D108</f>
        <v>514.9000000000002</v>
      </c>
      <c r="I108" s="65">
        <f t="shared" si="14"/>
        <v>1416.6999999999998</v>
      </c>
    </row>
    <row r="109" spans="1:9" ht="18">
      <c r="A109" s="26" t="s">
        <v>32</v>
      </c>
      <c r="B109" s="78">
        <v>680.3</v>
      </c>
      <c r="C109" s="48">
        <v>1213.5</v>
      </c>
      <c r="D109" s="79">
        <f>142.7+0.9+78.6+37.4+20.9+42.5+24.8+0.6+32.7</f>
        <v>381.09999999999997</v>
      </c>
      <c r="E109" s="1">
        <f>D109/D108*100</f>
        <v>50.84723148765844</v>
      </c>
      <c r="F109" s="1">
        <f t="shared" si="15"/>
        <v>56.019403204468624</v>
      </c>
      <c r="G109" s="1">
        <f t="shared" si="12"/>
        <v>31.405026782035435</v>
      </c>
      <c r="H109" s="48">
        <f t="shared" si="16"/>
        <v>299.2</v>
      </c>
      <c r="I109" s="48">
        <f t="shared" si="14"/>
        <v>832.4000000000001</v>
      </c>
    </row>
    <row r="110" spans="1:9" ht="34.5" customHeight="1">
      <c r="A110" s="16" t="s">
        <v>95</v>
      </c>
      <c r="B110" s="77">
        <v>298.5</v>
      </c>
      <c r="C110" s="65">
        <v>778.3</v>
      </c>
      <c r="D110" s="76">
        <f>26.5+20.2+7.7+37.4+7.5+38.9-0.1+38.9+12.6+45.5+9.7</f>
        <v>244.8</v>
      </c>
      <c r="E110" s="6">
        <f>D110/D107*100</f>
        <v>0.10054643372314241</v>
      </c>
      <c r="F110" s="6">
        <f>D110/B110*100</f>
        <v>82.01005025125629</v>
      </c>
      <c r="G110" s="6">
        <f t="shared" si="12"/>
        <v>31.453167159193118</v>
      </c>
      <c r="H110" s="65">
        <f t="shared" si="16"/>
        <v>53.69999999999999</v>
      </c>
      <c r="I110" s="65">
        <f t="shared" si="14"/>
        <v>533.5</v>
      </c>
    </row>
    <row r="111" spans="1:9" s="41" customFormat="1" ht="34.5" customHeight="1">
      <c r="A111" s="16" t="s">
        <v>71</v>
      </c>
      <c r="B111" s="77">
        <v>531.6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531.6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115</v>
      </c>
      <c r="B113" s="77">
        <v>40</v>
      </c>
      <c r="C113" s="65">
        <v>50</v>
      </c>
      <c r="D113" s="76">
        <f>5.8+4.7</f>
        <v>10.5</v>
      </c>
      <c r="E113" s="6">
        <f>D113/D107*100</f>
        <v>0.004312653407242628</v>
      </c>
      <c r="F113" s="6">
        <f t="shared" si="15"/>
        <v>26.25</v>
      </c>
      <c r="G113" s="6">
        <f t="shared" si="12"/>
        <v>21</v>
      </c>
      <c r="H113" s="65">
        <f t="shared" si="16"/>
        <v>29.5</v>
      </c>
      <c r="I113" s="65">
        <f t="shared" si="14"/>
        <v>39.5</v>
      </c>
    </row>
    <row r="114" spans="1:9" ht="37.5">
      <c r="A114" s="16" t="s">
        <v>46</v>
      </c>
      <c r="B114" s="77">
        <v>1067.5</v>
      </c>
      <c r="C114" s="65">
        <v>1795.8</v>
      </c>
      <c r="D114" s="76">
        <f>82.2+4.4+0.2+16.8+100.8+0.1+8.3+21.3+93.2+14.5+11.8+88.2+4.6+1.1+5.8+6+2.3+112.3+12.6+0.8+1.5+0.2+0.2+72.9+5.6</f>
        <v>667.7000000000002</v>
      </c>
      <c r="E114" s="6">
        <f>D114/D107*100</f>
        <v>0.2742436838110385</v>
      </c>
      <c r="F114" s="6">
        <f t="shared" si="15"/>
        <v>62.54800936768151</v>
      </c>
      <c r="G114" s="6">
        <f t="shared" si="12"/>
        <v>37.18120057912909</v>
      </c>
      <c r="H114" s="65">
        <f t="shared" si="16"/>
        <v>399.79999999999984</v>
      </c>
      <c r="I114" s="65">
        <f t="shared" si="14"/>
        <v>1128.1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116</v>
      </c>
      <c r="B116" s="77">
        <v>91.5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91.5</v>
      </c>
      <c r="I116" s="57">
        <f t="shared" si="14"/>
        <v>264.5</v>
      </c>
    </row>
    <row r="117" spans="1:9" ht="37.5">
      <c r="A117" s="16" t="s">
        <v>57</v>
      </c>
      <c r="B117" s="77">
        <v>105</v>
      </c>
      <c r="C117" s="65">
        <v>110</v>
      </c>
      <c r="D117" s="76"/>
      <c r="E117" s="6">
        <f>D117/D107*100</f>
        <v>0</v>
      </c>
      <c r="F117" s="6">
        <f>D117/B117*100</f>
        <v>0</v>
      </c>
      <c r="G117" s="6">
        <f t="shared" si="12"/>
        <v>0</v>
      </c>
      <c r="H117" s="65">
        <f t="shared" si="16"/>
        <v>105</v>
      </c>
      <c r="I117" s="65">
        <f t="shared" si="14"/>
        <v>110</v>
      </c>
    </row>
    <row r="118" spans="1:9" s="2" customFormat="1" ht="18.75">
      <c r="A118" s="16" t="s">
        <v>16</v>
      </c>
      <c r="B118" s="77">
        <f>136.3</f>
        <v>136.3</v>
      </c>
      <c r="C118" s="57">
        <v>229.6</v>
      </c>
      <c r="D118" s="76">
        <f>17.1-0.3+0.8+0.3+21.4+4.2+0.3+17.6+4.2+0.8+0.3+16.8+0.3+2+2.2+17.7+1.1+4.1+17.7+0.8</f>
        <v>129.39999999999998</v>
      </c>
      <c r="E118" s="6">
        <f>D118/D107*100</f>
        <v>0.053148319133066294</v>
      </c>
      <c r="F118" s="6">
        <f t="shared" si="15"/>
        <v>94.93763756419659</v>
      </c>
      <c r="G118" s="6">
        <f t="shared" si="12"/>
        <v>56.35888501742159</v>
      </c>
      <c r="H118" s="65">
        <f t="shared" si="16"/>
        <v>6.900000000000034</v>
      </c>
      <c r="I118" s="65">
        <f t="shared" si="14"/>
        <v>100.20000000000002</v>
      </c>
    </row>
    <row r="119" spans="1:9" s="36" customFormat="1" ht="18">
      <c r="A119" s="37" t="s">
        <v>53</v>
      </c>
      <c r="B119" s="78">
        <v>102.6</v>
      </c>
      <c r="C119" s="48">
        <v>170.2</v>
      </c>
      <c r="D119" s="79">
        <f>17.1-0.3+16.8+16.8+16.8+17.7+17.7</f>
        <v>102.60000000000001</v>
      </c>
      <c r="E119" s="1">
        <f>D119/D118*100</f>
        <v>79.28902627511593</v>
      </c>
      <c r="F119" s="1">
        <f t="shared" si="15"/>
        <v>100.00000000000003</v>
      </c>
      <c r="G119" s="1">
        <f t="shared" si="12"/>
        <v>60.28202115158637</v>
      </c>
      <c r="H119" s="48">
        <f t="shared" si="16"/>
        <v>0</v>
      </c>
      <c r="I119" s="48">
        <f t="shared" si="14"/>
        <v>67.59999999999998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v>568.7</v>
      </c>
      <c r="C121" s="57">
        <f>204.9+375.8-12</f>
        <v>568.7</v>
      </c>
      <c r="D121" s="80"/>
      <c r="E121" s="17">
        <f>D121/D107*100</f>
        <v>0</v>
      </c>
      <c r="F121" s="6">
        <f t="shared" si="15"/>
        <v>0</v>
      </c>
      <c r="G121" s="6">
        <f t="shared" si="12"/>
        <v>0</v>
      </c>
      <c r="H121" s="65">
        <f t="shared" si="16"/>
        <v>568.7</v>
      </c>
      <c r="I121" s="65">
        <f t="shared" si="14"/>
        <v>568.7</v>
      </c>
    </row>
    <row r="122" spans="1:9" s="110" customFormat="1" ht="18">
      <c r="A122" s="26" t="s">
        <v>97</v>
      </c>
      <c r="B122" s="78">
        <v>80</v>
      </c>
      <c r="C122" s="48">
        <v>80</v>
      </c>
      <c r="D122" s="79"/>
      <c r="E122" s="6"/>
      <c r="F122" s="1">
        <f>D122/B122*100</f>
        <v>0</v>
      </c>
      <c r="G122" s="1">
        <f t="shared" si="12"/>
        <v>0</v>
      </c>
      <c r="H122" s="48">
        <f t="shared" si="16"/>
        <v>80</v>
      </c>
      <c r="I122" s="48">
        <f t="shared" si="14"/>
        <v>80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v>12271</v>
      </c>
      <c r="C124" s="57">
        <f>5096.9+1707.5+6000</f>
        <v>12804.4</v>
      </c>
      <c r="D124" s="80">
        <f>3776+7.6+1124+100+14.3+14.5+0.1+20.4+3015.8+9+1156.5+27+0.1+1146.6+5.2+681+29.9+16.3</f>
        <v>11144.300000000001</v>
      </c>
      <c r="E124" s="17">
        <f>D124/D107*100</f>
        <v>4.577286034888956</v>
      </c>
      <c r="F124" s="6">
        <f t="shared" si="15"/>
        <v>90.8181892266319</v>
      </c>
      <c r="G124" s="6">
        <f t="shared" si="12"/>
        <v>87.03492549436133</v>
      </c>
      <c r="H124" s="65">
        <f t="shared" si="16"/>
        <v>1126.699999999999</v>
      </c>
      <c r="I124" s="65">
        <f t="shared" si="14"/>
        <v>1660.0999999999985</v>
      </c>
    </row>
    <row r="125" spans="1:9" s="2" customFormat="1" ht="18.75">
      <c r="A125" s="16" t="s">
        <v>118</v>
      </c>
      <c r="B125" s="77">
        <v>890</v>
      </c>
      <c r="C125" s="57">
        <v>1239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890</v>
      </c>
      <c r="I125" s="65">
        <f t="shared" si="14"/>
        <v>1239</v>
      </c>
    </row>
    <row r="126" spans="1:9" s="2" customFormat="1" ht="37.5">
      <c r="A126" s="16" t="s">
        <v>117</v>
      </c>
      <c r="B126" s="77">
        <v>0</v>
      </c>
      <c r="C126" s="57">
        <v>20</v>
      </c>
      <c r="D126" s="80"/>
      <c r="E126" s="17">
        <f>D126/D107*100</f>
        <v>0</v>
      </c>
      <c r="F126" s="133" t="e">
        <f t="shared" si="15"/>
        <v>#DIV/0!</v>
      </c>
      <c r="G126" s="6">
        <f t="shared" si="12"/>
        <v>0</v>
      </c>
      <c r="H126" s="65">
        <f t="shared" si="16"/>
        <v>0</v>
      </c>
      <c r="I126" s="65">
        <f t="shared" si="14"/>
        <v>20</v>
      </c>
    </row>
    <row r="127" spans="1:9" s="2" customFormat="1" ht="37.5">
      <c r="A127" s="16" t="s">
        <v>102</v>
      </c>
      <c r="B127" s="77">
        <f>95.1-5.2</f>
        <v>89.89999999999999</v>
      </c>
      <c r="C127" s="57">
        <v>95.1</v>
      </c>
      <c r="D127" s="80">
        <f>4.5+17.5+0.7</f>
        <v>22.7</v>
      </c>
      <c r="E127" s="17">
        <f>D127/D107*100</f>
        <v>0.009323545937562634</v>
      </c>
      <c r="F127" s="6">
        <f t="shared" si="15"/>
        <v>25.25027808676307</v>
      </c>
      <c r="G127" s="6">
        <f t="shared" si="12"/>
        <v>23.869610935856993</v>
      </c>
      <c r="H127" s="65">
        <f t="shared" si="16"/>
        <v>67.19999999999999</v>
      </c>
      <c r="I127" s="65">
        <f t="shared" si="14"/>
        <v>72.39999999999999</v>
      </c>
    </row>
    <row r="128" spans="1:9" s="2" customFormat="1" ht="37.5">
      <c r="A128" s="16" t="s">
        <v>74</v>
      </c>
      <c r="B128" s="77">
        <v>534.4</v>
      </c>
      <c r="C128" s="57">
        <v>983</v>
      </c>
      <c r="D128" s="80">
        <f>2.8+14.4+2.8+8.8+3.7+4+2.8+5.8+9.6+4.2+2.7+0.2+2.9+76+0.5+2.6+4.7</f>
        <v>148.49999999999997</v>
      </c>
      <c r="E128" s="17">
        <f>D128/D107*100</f>
        <v>0.06099324104528859</v>
      </c>
      <c r="F128" s="6">
        <f t="shared" si="15"/>
        <v>27.78817365269461</v>
      </c>
      <c r="G128" s="6">
        <f t="shared" si="12"/>
        <v>15.106815869786367</v>
      </c>
      <c r="H128" s="65">
        <f t="shared" si="16"/>
        <v>385.9</v>
      </c>
      <c r="I128" s="65">
        <f t="shared" si="14"/>
        <v>834.5</v>
      </c>
    </row>
    <row r="129" spans="1:9" s="36" customFormat="1" ht="18">
      <c r="A129" s="26" t="s">
        <v>111</v>
      </c>
      <c r="B129" s="78">
        <v>459.5</v>
      </c>
      <c r="C129" s="48">
        <v>851.8</v>
      </c>
      <c r="D129" s="79">
        <f>2.8+2.8-0.1+2.8+2.7+2.9+70.7+4.7</f>
        <v>89.30000000000001</v>
      </c>
      <c r="E129" s="1">
        <f>D129/D128*100</f>
        <v>60.13468013468015</v>
      </c>
      <c r="F129" s="1">
        <f>D129/B129*100</f>
        <v>19.434167573449404</v>
      </c>
      <c r="G129" s="1">
        <f t="shared" si="12"/>
        <v>10.483681615402679</v>
      </c>
      <c r="H129" s="48">
        <f t="shared" si="16"/>
        <v>370.2</v>
      </c>
      <c r="I129" s="48">
        <f t="shared" si="14"/>
        <v>762.5</v>
      </c>
    </row>
    <row r="130" spans="1:9" s="2" customFormat="1" ht="18.75" hidden="1">
      <c r="A130" s="16" t="s">
        <v>69</v>
      </c>
      <c r="B130" s="77"/>
      <c r="C130" s="57"/>
      <c r="D130" s="80"/>
      <c r="E130" s="17">
        <f>D130/D107*100</f>
        <v>0</v>
      </c>
      <c r="F130" s="6" t="e">
        <f t="shared" si="15"/>
        <v>#DIV/0!</v>
      </c>
      <c r="G130" s="6" t="e">
        <f t="shared" si="12"/>
        <v>#DIV/0!</v>
      </c>
      <c r="H130" s="65">
        <f t="shared" si="16"/>
        <v>0</v>
      </c>
      <c r="I130" s="65">
        <f t="shared" si="14"/>
        <v>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42.8</v>
      </c>
      <c r="C132" s="57">
        <v>64.1</v>
      </c>
      <c r="D132" s="80">
        <f>0.8+2.3+1.8+1+14.8</f>
        <v>20.7</v>
      </c>
      <c r="E132" s="17">
        <f>D132/D107*100</f>
        <v>0.008502088145706896</v>
      </c>
      <c r="F132" s="6">
        <f t="shared" si="15"/>
        <v>48.36448598130841</v>
      </c>
      <c r="G132" s="6">
        <f t="shared" si="12"/>
        <v>32.293291731669264</v>
      </c>
      <c r="H132" s="65">
        <f t="shared" si="16"/>
        <v>22.099999999999998</v>
      </c>
      <c r="I132" s="65">
        <f t="shared" si="14"/>
        <v>43.39999999999999</v>
      </c>
    </row>
    <row r="133" spans="1:9" s="2" customFormat="1" ht="35.25" customHeight="1" hidden="1">
      <c r="A133" s="16" t="s">
        <v>70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109</v>
      </c>
      <c r="B134" s="77">
        <v>334.2</v>
      </c>
      <c r="C134" s="57">
        <v>600</v>
      </c>
      <c r="D134" s="80">
        <f>0.8+5+0.9+2.6-0.1+0.6+0.1</f>
        <v>9.9</v>
      </c>
      <c r="E134" s="17">
        <f>D134/D107*100</f>
        <v>0.004066216069685907</v>
      </c>
      <c r="F134" s="6">
        <f t="shared" si="15"/>
        <v>2.9622980251346505</v>
      </c>
      <c r="G134" s="6">
        <f t="shared" si="12"/>
        <v>1.6500000000000001</v>
      </c>
      <c r="H134" s="65">
        <f t="shared" si="16"/>
        <v>324.3</v>
      </c>
      <c r="I134" s="65">
        <f t="shared" si="14"/>
        <v>590.1</v>
      </c>
    </row>
    <row r="135" spans="1:9" s="2" customFormat="1" ht="35.25" customHeight="1" hidden="1">
      <c r="A135" s="16" t="s">
        <v>110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101</v>
      </c>
      <c r="B136" s="77">
        <v>212</v>
      </c>
      <c r="C136" s="57">
        <v>363.7</v>
      </c>
      <c r="D136" s="80">
        <f>5.2+0.3+2.7+0.1+0.5+0.2+13.8+39.2+5+5.9+2+6.5+0.1+32.4+5+3.9+0.2+0.7+8.4</f>
        <v>132.10000000000002</v>
      </c>
      <c r="E136" s="17">
        <f>D136/D107*100</f>
        <v>0.05425728715207156</v>
      </c>
      <c r="F136" s="6">
        <f t="shared" si="15"/>
        <v>62.311320754716995</v>
      </c>
      <c r="G136" s="6">
        <f>D136/C136*100</f>
        <v>36.321143799835035</v>
      </c>
      <c r="H136" s="65">
        <f t="shared" si="16"/>
        <v>79.89999999999998</v>
      </c>
      <c r="I136" s="65">
        <f t="shared" si="14"/>
        <v>231.59999999999997</v>
      </c>
    </row>
    <row r="137" spans="1:9" s="36" customFormat="1" ht="18">
      <c r="A137" s="26" t="s">
        <v>32</v>
      </c>
      <c r="B137" s="78">
        <v>127.7</v>
      </c>
      <c r="C137" s="48">
        <v>218.8</v>
      </c>
      <c r="D137" s="79">
        <f>0.3+39.3+0.2+2+32.4+0.2-0.1+5.4</f>
        <v>79.7</v>
      </c>
      <c r="E137" s="111">
        <f>D137/D136*100</f>
        <v>60.333080999242995</v>
      </c>
      <c r="F137" s="1">
        <f t="shared" si="15"/>
        <v>62.411902897415814</v>
      </c>
      <c r="G137" s="1">
        <f>D137/C137*100</f>
        <v>36.42595978062157</v>
      </c>
      <c r="H137" s="48">
        <f t="shared" si="16"/>
        <v>48</v>
      </c>
      <c r="I137" s="48">
        <f t="shared" si="14"/>
        <v>139.10000000000002</v>
      </c>
    </row>
    <row r="138" spans="1:9" s="2" customFormat="1" ht="18.75">
      <c r="A138" s="16" t="s">
        <v>31</v>
      </c>
      <c r="B138" s="77">
        <v>684.3</v>
      </c>
      <c r="C138" s="57">
        <f>1160.2+12</f>
        <v>1172.2</v>
      </c>
      <c r="D138" s="80">
        <f>26.5+42.3+30.1+3.6+8.6+42.3+0.1+5.7+31.9+5.2+42.5+11.7+55+45.4+28.3+17.8+9.6+33.4+0.9+26.8+46.9+38.1-0.1</f>
        <v>552.5999999999999</v>
      </c>
      <c r="E138" s="17">
        <f>D138/D107*100</f>
        <v>0.22696878788974056</v>
      </c>
      <c r="F138" s="6">
        <f t="shared" si="15"/>
        <v>80.75405523893029</v>
      </c>
      <c r="G138" s="6">
        <f t="shared" si="12"/>
        <v>47.142125917078985</v>
      </c>
      <c r="H138" s="65">
        <f t="shared" si="16"/>
        <v>131.70000000000005</v>
      </c>
      <c r="I138" s="65">
        <f t="shared" si="14"/>
        <v>619.6000000000001</v>
      </c>
    </row>
    <row r="139" spans="1:9" s="36" customFormat="1" ht="18">
      <c r="A139" s="37" t="s">
        <v>53</v>
      </c>
      <c r="B139" s="78">
        <v>512.5</v>
      </c>
      <c r="C139" s="48">
        <v>886.2</v>
      </c>
      <c r="D139" s="79">
        <f>26.5+39.8+30.1+42.1+0.1+31.9+40.5+11.2+38.1+30.1+28.3+17.4+33.4+8.9+24.2+37.9</f>
        <v>440.49999999999994</v>
      </c>
      <c r="E139" s="1">
        <f>D139/D138*100</f>
        <v>79.71407889974665</v>
      </c>
      <c r="F139" s="1">
        <f aca="true" t="shared" si="17" ref="F139:F147">D139/B139*100</f>
        <v>85.95121951219511</v>
      </c>
      <c r="G139" s="1">
        <f t="shared" si="12"/>
        <v>49.706612502821024</v>
      </c>
      <c r="H139" s="48">
        <f t="shared" si="16"/>
        <v>72.00000000000006</v>
      </c>
      <c r="I139" s="48">
        <f t="shared" si="14"/>
        <v>445.7000000000001</v>
      </c>
    </row>
    <row r="140" spans="1:9" s="36" customFormat="1" ht="18">
      <c r="A140" s="26" t="s">
        <v>32</v>
      </c>
      <c r="B140" s="78">
        <v>22.9</v>
      </c>
      <c r="C140" s="48">
        <v>39.3</v>
      </c>
      <c r="D140" s="79">
        <f>8.6+0.2+0.3+5.1+0.4+5.3+0.3+0.3</f>
        <v>20.5</v>
      </c>
      <c r="E140" s="1">
        <f>D140/D138*100</f>
        <v>3.709735794426349</v>
      </c>
      <c r="F140" s="1">
        <f t="shared" si="17"/>
        <v>89.51965065502185</v>
      </c>
      <c r="G140" s="1">
        <f>D140/C140*100</f>
        <v>52.16284987277354</v>
      </c>
      <c r="H140" s="48">
        <f t="shared" si="16"/>
        <v>2.3999999999999986</v>
      </c>
      <c r="I140" s="48">
        <f t="shared" si="14"/>
        <v>18.799999999999997</v>
      </c>
    </row>
    <row r="141" spans="1:9" s="2" customFormat="1" ht="56.25">
      <c r="A141" s="20" t="s">
        <v>106</v>
      </c>
      <c r="B141" s="77">
        <v>345</v>
      </c>
      <c r="C141" s="57">
        <v>345</v>
      </c>
      <c r="D141" s="80">
        <f>345</f>
        <v>345</v>
      </c>
      <c r="E141" s="17">
        <f>D141/D107*100</f>
        <v>0.1417014690951149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108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103</v>
      </c>
      <c r="B143" s="77">
        <v>26066.1</v>
      </c>
      <c r="C143" s="57">
        <f>16744+15000+2000-2607.4</f>
        <v>31136.6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112.8+55.6+128.7+0.1+105.3+21.7+331.5+41.9+106.9+1197.5+64.4+33.5+768.6+5.6+65.8+1473+34.4+335.2+312.9+1166.8+460.5+1222.9+80.6+345.1+0.1+100+568+208.9+692.3+545.3+256.2+7.3+541.9+187.1+120.3+189.7+763.7+106.1+275.6+3020.5+51.8+369.9+152.3+1900.1+0.2+105.3</f>
        <v>18633.899999999998</v>
      </c>
      <c r="E143" s="17">
        <f>D143/D107*100</f>
        <v>7.653481173830325</v>
      </c>
      <c r="F143" s="107">
        <f t="shared" si="17"/>
        <v>71.4871039395997</v>
      </c>
      <c r="G143" s="6">
        <f t="shared" si="12"/>
        <v>59.845647887052536</v>
      </c>
      <c r="H143" s="65">
        <f t="shared" si="16"/>
        <v>7432.200000000001</v>
      </c>
      <c r="I143" s="65">
        <f t="shared" si="14"/>
        <v>12502.7</v>
      </c>
    </row>
    <row r="144" spans="1:9" s="2" customFormat="1" ht="18.75" hidden="1">
      <c r="A144" s="20" t="s">
        <v>104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107</v>
      </c>
      <c r="B145" s="77">
        <v>2177.7</v>
      </c>
      <c r="C145" s="57">
        <f>6504.8-4188</f>
        <v>2316.8</v>
      </c>
      <c r="D145" s="80">
        <f>2094</f>
        <v>2094</v>
      </c>
      <c r="E145" s="17">
        <f>D145/D107*100</f>
        <v>0.8600663080729585</v>
      </c>
      <c r="F145" s="107">
        <f t="shared" si="17"/>
        <v>96.15649538503926</v>
      </c>
      <c r="G145" s="6">
        <f t="shared" si="12"/>
        <v>90.38328729281767</v>
      </c>
      <c r="H145" s="65">
        <f t="shared" si="16"/>
        <v>83.69999999999982</v>
      </c>
      <c r="I145" s="65">
        <f t="shared" si="14"/>
        <v>222.80000000000018</v>
      </c>
    </row>
    <row r="146" spans="1:12" s="2" customFormat="1" ht="18.75" customHeight="1">
      <c r="A146" s="16" t="s">
        <v>94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0.24754630557572688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v>245894.5</v>
      </c>
      <c r="C147" s="57">
        <f>298394.8+81857.1-188.4+8192+4136.9-39.9</f>
        <v>392352.5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</f>
        <v>193460.50000000003</v>
      </c>
      <c r="E147" s="17">
        <f>D147/D107*100</f>
        <v>79.45981757065358</v>
      </c>
      <c r="F147" s="6">
        <f t="shared" si="17"/>
        <v>78.67622089961347</v>
      </c>
      <c r="G147" s="6">
        <f t="shared" si="12"/>
        <v>49.307829056779305</v>
      </c>
      <c r="H147" s="65">
        <f t="shared" si="16"/>
        <v>52433.99999999997</v>
      </c>
      <c r="I147" s="65">
        <f t="shared" si="14"/>
        <v>198891.99999999997</v>
      </c>
      <c r="K147" s="99"/>
      <c r="L147" s="42"/>
    </row>
    <row r="148" spans="1:12" s="2" customFormat="1" ht="18.75">
      <c r="A148" s="16" t="s">
        <v>105</v>
      </c>
      <c r="B148" s="77">
        <v>16917.6</v>
      </c>
      <c r="C148" s="57">
        <v>29001.6</v>
      </c>
      <c r="D148" s="80">
        <f>805.6+805.6+805.6+805.6+805.6+805.6+805.6+805.6+805.6+805.6+805.6+805.6+805.6+805.6+805.6+805.6+805.6+805.6</f>
        <v>14500.800000000005</v>
      </c>
      <c r="E148" s="17">
        <f>D148/D107*100</f>
        <v>5.95589757407085</v>
      </c>
      <c r="F148" s="6">
        <f t="shared" si="15"/>
        <v>85.71428571428575</v>
      </c>
      <c r="G148" s="6">
        <f t="shared" si="12"/>
        <v>50.00000000000002</v>
      </c>
      <c r="H148" s="65">
        <f t="shared" si="16"/>
        <v>2416.799999999994</v>
      </c>
      <c r="I148" s="65">
        <f t="shared" si="14"/>
        <v>14500.799999999994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318115.1</v>
      </c>
      <c r="C149" s="81">
        <f>C43+C69+C72+C77+C79+C87+C102+C107+C100+C84+C98</f>
        <v>493497.39999999997</v>
      </c>
      <c r="D149" s="57">
        <f>D43+D69+D72+D77+D79+D87+D102+D107+D100+D84+D98</f>
        <v>248670.30000000005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883423.5</v>
      </c>
      <c r="C150" s="51">
        <f>C6+C18+C33+C43+C51+C59+C69+C72+C77+C79+C87+C90+C95+C102+C107+C100+C84+C98+C45</f>
        <v>1395710.9000000001</v>
      </c>
      <c r="D150" s="51">
        <f>D6+D18+D33+D43+D51+D59+D69+D72+D77+D79+D87+D90+D95+D102+D107+D100+D84+D98+D45</f>
        <v>717896.4</v>
      </c>
      <c r="E150" s="35">
        <v>100</v>
      </c>
      <c r="F150" s="3">
        <f>D150/B150*100</f>
        <v>81.26299560742952</v>
      </c>
      <c r="G150" s="3">
        <f aca="true" t="shared" si="18" ref="G150:G156">D150/C150*100</f>
        <v>51.435895499562264</v>
      </c>
      <c r="H150" s="51">
        <f aca="true" t="shared" si="19" ref="H150:H156">B150-D150</f>
        <v>165527.09999999998</v>
      </c>
      <c r="I150" s="51">
        <f aca="true" t="shared" si="20" ref="I150:I156">C150-D150</f>
        <v>677814.5000000001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363861.5</v>
      </c>
      <c r="C151" s="64">
        <f>C8+C20+C34+C52+C60+C91+C115+C119+C46+C139+C131+C103</f>
        <v>589171.4999999998</v>
      </c>
      <c r="D151" s="64">
        <f>D8+D20+D34+D52+D60+D91+D115+D119+D46+D139+D131+D103</f>
        <v>323665</v>
      </c>
      <c r="E151" s="6">
        <f>D151/D150*100</f>
        <v>45.085196136935636</v>
      </c>
      <c r="F151" s="6">
        <f aca="true" t="shared" si="21" ref="F151:F162">D151/B151*100</f>
        <v>88.95280209640207</v>
      </c>
      <c r="G151" s="6">
        <f t="shared" si="18"/>
        <v>54.935617218416056</v>
      </c>
      <c r="H151" s="65">
        <f t="shared" si="19"/>
        <v>40196.5</v>
      </c>
      <c r="I151" s="76">
        <f t="shared" si="20"/>
        <v>265506.49999999977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69739.5</v>
      </c>
      <c r="C152" s="65">
        <f>C11+C23+C36+C55+C62+C92+C49+C140+C109+C112+C96+C137</f>
        <v>114196.40000000001</v>
      </c>
      <c r="D152" s="65">
        <f>D11+D23+D36+D55+D62+D92+D49+D140+D109+D112+D96+D137</f>
        <v>50013.299999999996</v>
      </c>
      <c r="E152" s="6">
        <f>D152/D150*100</f>
        <v>6.966645883723611</v>
      </c>
      <c r="F152" s="6">
        <f t="shared" si="21"/>
        <v>71.71445163788096</v>
      </c>
      <c r="G152" s="6">
        <f t="shared" si="18"/>
        <v>43.79586396769074</v>
      </c>
      <c r="H152" s="65">
        <f t="shared" si="19"/>
        <v>19726.200000000004</v>
      </c>
      <c r="I152" s="76">
        <f t="shared" si="20"/>
        <v>64183.10000000001</v>
      </c>
      <c r="K152" s="43"/>
      <c r="L152" s="98"/>
    </row>
    <row r="153" spans="1:12" ht="18.75">
      <c r="A153" s="20" t="s">
        <v>1</v>
      </c>
      <c r="B153" s="64">
        <f>B22+B10+B54+B48+B61+B35+B123</f>
        <v>20895.499999999996</v>
      </c>
      <c r="C153" s="64">
        <f>C22+C10+C54+C48+C61+C35+C123</f>
        <v>31721.800000000003</v>
      </c>
      <c r="D153" s="64">
        <f>D22+D10+D54+D48+D61+D35+D123</f>
        <v>16375.700000000008</v>
      </c>
      <c r="E153" s="6">
        <f>D153/D150*100</f>
        <v>2.281067296061104</v>
      </c>
      <c r="F153" s="6">
        <f t="shared" si="21"/>
        <v>78.36950539589868</v>
      </c>
      <c r="G153" s="6">
        <f t="shared" si="18"/>
        <v>51.62285872806716</v>
      </c>
      <c r="H153" s="65">
        <f t="shared" si="19"/>
        <v>4519.799999999988</v>
      </c>
      <c r="I153" s="76">
        <f t="shared" si="20"/>
        <v>15346.099999999995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18039.3</v>
      </c>
      <c r="C154" s="64">
        <f>C12+C24+C104+C63+C38+C93+C129+C56</f>
        <v>29347.1</v>
      </c>
      <c r="D154" s="64">
        <f>D12+D24+D104+D63+D38+D93+D129+D56</f>
        <v>11739.9</v>
      </c>
      <c r="E154" s="6">
        <f>D154/D150*100</f>
        <v>1.63531952521283</v>
      </c>
      <c r="F154" s="6">
        <f t="shared" si="21"/>
        <v>65.07957625850227</v>
      </c>
      <c r="G154" s="6">
        <f t="shared" si="18"/>
        <v>40.003611941213954</v>
      </c>
      <c r="H154" s="65">
        <f t="shared" si="19"/>
        <v>6299.4</v>
      </c>
      <c r="I154" s="76">
        <f t="shared" si="20"/>
        <v>17607.199999999997</v>
      </c>
      <c r="K154" s="43"/>
      <c r="L154" s="98"/>
    </row>
    <row r="155" spans="1:12" ht="18.75">
      <c r="A155" s="20" t="s">
        <v>2</v>
      </c>
      <c r="B155" s="64">
        <f>B9+B21+B47+B53+B122</f>
        <v>13772.8</v>
      </c>
      <c r="C155" s="64">
        <f>C9+C21+C47+C53+C122</f>
        <v>21243.1</v>
      </c>
      <c r="D155" s="64">
        <f>D9+D21+D47+D53+D122</f>
        <v>9511.900000000001</v>
      </c>
      <c r="E155" s="6">
        <f>D155/D150*100</f>
        <v>1.3249683380498916</v>
      </c>
      <c r="F155" s="6">
        <f t="shared" si="21"/>
        <v>69.06293564126396</v>
      </c>
      <c r="G155" s="6">
        <f t="shared" si="18"/>
        <v>44.77642152039957</v>
      </c>
      <c r="H155" s="65">
        <f t="shared" si="19"/>
        <v>4260.899999999998</v>
      </c>
      <c r="I155" s="76">
        <f t="shared" si="20"/>
        <v>11731.199999999997</v>
      </c>
      <c r="K155" s="43"/>
      <c r="L155" s="44"/>
    </row>
    <row r="156" spans="1:12" ht="19.5" thickBot="1">
      <c r="A156" s="20" t="s">
        <v>34</v>
      </c>
      <c r="B156" s="64">
        <f>B150-B151-B152-B153-B154-B155</f>
        <v>397114.9</v>
      </c>
      <c r="C156" s="64">
        <f>C150-C151-C152-C153-C154-C155</f>
        <v>610031.0000000003</v>
      </c>
      <c r="D156" s="64">
        <f>D150-D151-D152-D153-D154-D155</f>
        <v>306590.6</v>
      </c>
      <c r="E156" s="6">
        <f>D156/D150*100</f>
        <v>42.70680282001692</v>
      </c>
      <c r="F156" s="6">
        <f t="shared" si="21"/>
        <v>77.20450680646834</v>
      </c>
      <c r="G156" s="40">
        <f t="shared" si="18"/>
        <v>50.25819999311507</v>
      </c>
      <c r="H156" s="65">
        <f t="shared" si="19"/>
        <v>90524.30000000005</v>
      </c>
      <c r="I156" s="65">
        <f t="shared" si="20"/>
        <v>303440.4000000004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22970.4-100</f>
        <v>22870.4</v>
      </c>
      <c r="C158" s="70">
        <f>35718.9-832.3</f>
        <v>34886.6</v>
      </c>
      <c r="D158" s="70">
        <f>33+3.1+31.8+118.6+8.5+18.3+41+591.6+0.1+448.4+20+14.4+41.3+31.5+458.7+42.9+92.6+54.3+185.1+276.9+138.9+420.8+189.7</f>
        <v>3261.5000000000005</v>
      </c>
      <c r="E158" s="14"/>
      <c r="F158" s="6">
        <f t="shared" si="21"/>
        <v>14.260791241080176</v>
      </c>
      <c r="G158" s="6">
        <f aca="true" t="shared" si="22" ref="G158:G167">D158/C158*100</f>
        <v>9.34886174061101</v>
      </c>
      <c r="H158" s="65">
        <f>B158-D158</f>
        <v>19608.9</v>
      </c>
      <c r="I158" s="65">
        <f aca="true" t="shared" si="23" ref="I158:I167">C158-D158</f>
        <v>31625.1</v>
      </c>
      <c r="K158" s="43"/>
      <c r="L158" s="43"/>
    </row>
    <row r="159" spans="1:12" ht="18.75">
      <c r="A159" s="20" t="s">
        <v>22</v>
      </c>
      <c r="B159" s="85">
        <v>25703.8</v>
      </c>
      <c r="C159" s="64">
        <f>51080.5+400</f>
        <v>51480.5</v>
      </c>
      <c r="D159" s="64">
        <f>100+49.9+293.6+174.2+159.5+52+404.4+89.3+150+694.7+650+637.7+888.1+1549.4+1150.4+28.8+73+685+233.1+79.4+200+254.7+419.8+99.5+57.1+1.6</f>
        <v>9175.2</v>
      </c>
      <c r="E159" s="6"/>
      <c r="F159" s="6">
        <f t="shared" si="21"/>
        <v>35.69588932375758</v>
      </c>
      <c r="G159" s="6">
        <f t="shared" si="22"/>
        <v>17.822670719981353</v>
      </c>
      <c r="H159" s="65">
        <f aca="true" t="shared" si="24" ref="H159:H166">B159-D159</f>
        <v>16528.6</v>
      </c>
      <c r="I159" s="65">
        <f t="shared" si="23"/>
        <v>42305.3</v>
      </c>
      <c r="K159" s="43"/>
      <c r="L159" s="43"/>
    </row>
    <row r="160" spans="1:12" ht="18.75">
      <c r="A160" s="20" t="s">
        <v>58</v>
      </c>
      <c r="B160" s="85">
        <v>187976.7</v>
      </c>
      <c r="C160" s="64">
        <f>332753.4-60000+332.5</f>
        <v>273085.9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+62.1+513.6-21.8+523.9+11473.2+6029.9+604.8+30+771</f>
        <v>95066.6</v>
      </c>
      <c r="E160" s="6"/>
      <c r="F160" s="6">
        <f t="shared" si="21"/>
        <v>50.57360832486154</v>
      </c>
      <c r="G160" s="6">
        <f t="shared" si="22"/>
        <v>34.81197674431378</v>
      </c>
      <c r="H160" s="65">
        <f t="shared" si="24"/>
        <v>92910.1</v>
      </c>
      <c r="I160" s="65">
        <f t="shared" si="23"/>
        <v>178019.30000000002</v>
      </c>
      <c r="K160" s="43"/>
      <c r="L160" s="43"/>
    </row>
    <row r="161" spans="1:12" ht="37.5" hidden="1">
      <c r="A161" s="20" t="s">
        <v>67</v>
      </c>
      <c r="B161" s="85"/>
      <c r="C161" s="64"/>
      <c r="D161" s="64"/>
      <c r="E161" s="6"/>
      <c r="F161" s="6" t="e">
        <f t="shared" si="21"/>
        <v>#DIV/0!</v>
      </c>
      <c r="G161" s="6" t="e">
        <f t="shared" si="22"/>
        <v>#DIV/0!</v>
      </c>
      <c r="H161" s="65">
        <f t="shared" si="24"/>
        <v>0</v>
      </c>
      <c r="I161" s="65">
        <f t="shared" si="23"/>
        <v>0</v>
      </c>
      <c r="K161" s="43"/>
      <c r="L161" s="43"/>
    </row>
    <row r="162" spans="1:12" ht="18.75">
      <c r="A162" s="20" t="s">
        <v>13</v>
      </c>
      <c r="B162" s="85">
        <f>9458.4-150</f>
        <v>9308.4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49.9+127.8+39.6+53.8+398.2+8.4+32.5+231.9+89.8+103.6+52.4+19.2+179.2+118+109.5+32.3+81.3+0.1+165.4+333.7+47.5+192.2+86.9+18.7+23.4+29.9+20+910.7+69.7+74+286.2+38+40.3+12.5+359</f>
        <v>4435.599999999999</v>
      </c>
      <c r="E162" s="17"/>
      <c r="F162" s="6">
        <f t="shared" si="21"/>
        <v>47.65158351596407</v>
      </c>
      <c r="G162" s="6">
        <f t="shared" si="22"/>
        <v>32.41900000730881</v>
      </c>
      <c r="H162" s="65">
        <f t="shared" si="24"/>
        <v>4872.8</v>
      </c>
      <c r="I162" s="65">
        <f t="shared" si="23"/>
        <v>9246.5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5">
        <f t="shared" si="24"/>
        <v>0</v>
      </c>
      <c r="I163" s="65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1170.7</v>
      </c>
      <c r="C164" s="64">
        <v>2118.3</v>
      </c>
      <c r="D164" s="64">
        <f>394.4+14+15.3</f>
        <v>423.7</v>
      </c>
      <c r="E164" s="17"/>
      <c r="F164" s="6">
        <f>D164/B164*100</f>
        <v>36.1920218672589</v>
      </c>
      <c r="G164" s="6">
        <f t="shared" si="22"/>
        <v>20.001888306661</v>
      </c>
      <c r="H164" s="65">
        <f t="shared" si="24"/>
        <v>747</v>
      </c>
      <c r="I164" s="65">
        <f t="shared" si="23"/>
        <v>1694.6000000000001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5">
        <f t="shared" si="24"/>
        <v>0</v>
      </c>
      <c r="I165" s="65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5">
        <f t="shared" si="24"/>
        <v>0</v>
      </c>
      <c r="I166" s="65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1130453.5</v>
      </c>
      <c r="C167" s="87">
        <f>C150+C158+C162+C163+C159+C166+C165+C160+C164+C161</f>
        <v>1770964.3000000005</v>
      </c>
      <c r="D167" s="87">
        <f>D150+D158+D162+D163+D159+D166+D165+D160+D164+D161</f>
        <v>830258.9999999999</v>
      </c>
      <c r="E167" s="22"/>
      <c r="F167" s="3">
        <f>D167/B167*100</f>
        <v>73.44477238559568</v>
      </c>
      <c r="G167" s="3">
        <f t="shared" si="22"/>
        <v>46.88174685395971</v>
      </c>
      <c r="H167" s="51">
        <f>B167-D167</f>
        <v>300194.5000000001</v>
      </c>
      <c r="I167" s="51">
        <f t="shared" si="23"/>
        <v>940705.3000000006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7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1395710.9000000001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717896.4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1395710.9000000001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717896.4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2016-06-30T11:54:53Z</cp:lastPrinted>
  <dcterms:created xsi:type="dcterms:W3CDTF">2000-06-20T04:48:00Z</dcterms:created>
  <dcterms:modified xsi:type="dcterms:W3CDTF">2016-07-07T05:04:56Z</dcterms:modified>
  <cp:category/>
  <cp:version/>
  <cp:contentType/>
  <cp:contentStatus/>
</cp:coreProperties>
</file>